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u\Nextcloud2\RJ\planilhas edital\"/>
    </mc:Choice>
  </mc:AlternateContent>
  <bookViews>
    <workbookView xWindow="0" yWindow="0" windowWidth="20490" windowHeight="7560"/>
  </bookViews>
  <sheets>
    <sheet name="Orçamento Sintético Anexo IV" sheetId="1" r:id="rId1"/>
  </sheets>
  <calcPr calcId="162913"/>
</workbook>
</file>

<file path=xl/calcChain.xml><?xml version="1.0" encoding="utf-8"?>
<calcChain xmlns="http://schemas.openxmlformats.org/spreadsheetml/2006/main">
  <c r="L149" i="1" l="1"/>
  <c r="L148" i="1"/>
  <c r="L147" i="1"/>
  <c r="L146" i="1"/>
  <c r="L145" i="1"/>
  <c r="L144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9" i="1"/>
  <c r="L8" i="1"/>
  <c r="L7" i="1"/>
</calcChain>
</file>

<file path=xl/sharedStrings.xml><?xml version="1.0" encoding="utf-8"?>
<sst xmlns="http://schemas.openxmlformats.org/spreadsheetml/2006/main" count="859" uniqueCount="392">
  <si>
    <t>Obra</t>
  </si>
  <si>
    <t>Bancos</t>
  </si>
  <si>
    <t>B.D.I.</t>
  </si>
  <si>
    <t>Encargos Sociais</t>
  </si>
  <si>
    <t>Reforma dos Circuitos Alimentadores do Hortomercado do RJ</t>
  </si>
  <si>
    <t xml:space="preserve">SINAPI - 01/2021 - Rio de Janeiro
ORSE - 11/2020 - Sergipe
CPOS - 11/2020 - São Paulo
</t>
  </si>
  <si>
    <t xml:space="preserve"> 22,78%</t>
  </si>
  <si>
    <t>Não Desonerado:  0,00%</t>
  </si>
  <si>
    <t>Planilha Orçamentária Sintética Com Valor da Mão de Obra</t>
  </si>
  <si>
    <t>Item</t>
  </si>
  <si>
    <t>Código</t>
  </si>
  <si>
    <t>Banco</t>
  </si>
  <si>
    <t>Descrição</t>
  </si>
  <si>
    <t>Tipo</t>
  </si>
  <si>
    <t>Und</t>
  </si>
  <si>
    <t>Quant.</t>
  </si>
  <si>
    <t>Valor Unit</t>
  </si>
  <si>
    <t>Valor Unit com BDI</t>
  </si>
  <si>
    <t>Mão de Obra</t>
  </si>
  <si>
    <t>Total</t>
  </si>
  <si>
    <t>Peso (%)</t>
  </si>
  <si>
    <t>Valor</t>
  </si>
  <si>
    <t>%</t>
  </si>
  <si>
    <t xml:space="preserve"> 1 </t>
  </si>
  <si>
    <t>Serviços Téc. Prof. / Desligamento Light</t>
  </si>
  <si>
    <t xml:space="preserve"> 1.1 </t>
  </si>
  <si>
    <t xml:space="preserve"> PL 1542 e 1544/2019 (CONFEA) </t>
  </si>
  <si>
    <t>Próprio</t>
  </si>
  <si>
    <t>ART OBRA OU SERVIÇO (ACIMA DE R$ 15.000,00) – EXERCÍCIO 2020</t>
  </si>
  <si>
    <t>Taxas</t>
  </si>
  <si>
    <t>und</t>
  </si>
  <si>
    <t xml:space="preserve"> 1.2 </t>
  </si>
  <si>
    <t xml:space="preserve"> 00002436 </t>
  </si>
  <si>
    <t>SINAPI</t>
  </si>
  <si>
    <t>ELETRICISTA (apoio, montagem, manutenção, reaperto, organização, climpagem de cabos, testes, procedimentos de segurança, auxilio em trabalho de altura, auxilio em montagem  de quadros eletricos, corte de chapas e ajustes em geral na instalação e sinalizacao.)</t>
  </si>
  <si>
    <t>H</t>
  </si>
  <si>
    <t xml:space="preserve"> 1.3 </t>
  </si>
  <si>
    <t xml:space="preserve"> 00034783 </t>
  </si>
  <si>
    <t>ENGENHEIRO ELETRICISTA (Supervisão, Configuração, Startup, Comissionamento, Planejamento, Procedimentos de segurança, compras técnicas, AsBuilt, documentação e vistorias, aprovações junto a orgãos públicos e Light, reuniões de fiscalização)</t>
  </si>
  <si>
    <t xml:space="preserve"> 2 </t>
  </si>
  <si>
    <t>Serviços Preliminares</t>
  </si>
  <si>
    <t xml:space="preserve"> 2.1 </t>
  </si>
  <si>
    <t xml:space="preserve"> 4259 </t>
  </si>
  <si>
    <t>ORSE</t>
  </si>
  <si>
    <t>Aluguel de grupo gerador, capacidade 6 Kva, com fornecimento de combustível (P/ EXECUÇÃO DOS TRABALHOS)</t>
  </si>
  <si>
    <t>Diversos</t>
  </si>
  <si>
    <t>h</t>
  </si>
  <si>
    <t xml:space="preserve"> 2.2 </t>
  </si>
  <si>
    <t xml:space="preserve"> 10551 </t>
  </si>
  <si>
    <t>Aluguel de rádio comunicador - 02 unidades (comunicação equipes, teste circuitos, etc)</t>
  </si>
  <si>
    <t>Material</t>
  </si>
  <si>
    <t>mês</t>
  </si>
  <si>
    <t xml:space="preserve"> 2.3 </t>
  </si>
  <si>
    <t xml:space="preserve"> 98458 </t>
  </si>
  <si>
    <t>TAPUME COM COMPENSADO DE MADEIRA. AF_05/2018 (Proteção de áreas/ segurança)</t>
  </si>
  <si>
    <t>CANT - CANTEIRO DE OBRAS</t>
  </si>
  <si>
    <t>m²</t>
  </si>
  <si>
    <t xml:space="preserve"> 2.4 </t>
  </si>
  <si>
    <t xml:space="preserve"> 00004813 </t>
  </si>
  <si>
    <t>PLACA DE OBRA (PARA CONSTRUCAO CIVIL) EM CHAPA GALVANIZADA *N. 22*, ADESIVADA, DE *2,0 X 1,125* M,  PADRÃO GOV. FED.</t>
  </si>
  <si>
    <t xml:space="preserve"> 2.5 </t>
  </si>
  <si>
    <t xml:space="preserve"> 00010527 </t>
  </si>
  <si>
    <t>LOCACAO DE ANDAIME METALICO TUBULAR DE ENCAIXE, TIPO DE TORRE, COM LARGURA DE 1,5 M</t>
  </si>
  <si>
    <t>Equipamento</t>
  </si>
  <si>
    <t>MXMES</t>
  </si>
  <si>
    <t xml:space="preserve"> 2.6 </t>
  </si>
  <si>
    <t xml:space="preserve"> 00010776 </t>
  </si>
  <si>
    <t>LOCACAO DE CONTAINER 2,30  X  6,00 M, ALT. 2,50 M, PARA ESCRITORIO, SEM DIVISORIAS INTERNAS E SEM SANITARIO</t>
  </si>
  <si>
    <t>MES</t>
  </si>
  <si>
    <t xml:space="preserve"> 2.7 </t>
  </si>
  <si>
    <t xml:space="preserve"> 90443 </t>
  </si>
  <si>
    <t>RASGO EM ALVENARIA PARA RAMAIS/ DISTRIBUIÇÃO</t>
  </si>
  <si>
    <t>INHI - INSTALAÇÕES HIDROS SANITÁRIAS</t>
  </si>
  <si>
    <t>M</t>
  </si>
  <si>
    <t xml:space="preserve"> 2.8 </t>
  </si>
  <si>
    <t xml:space="preserve"> 97064 </t>
  </si>
  <si>
    <t>MONTAGEM E DESMONTAGEM DE ANDAIME TUBULAR TIPO TORRE</t>
  </si>
  <si>
    <t>SEDI - SERVIÇOS DIVERSOS</t>
  </si>
  <si>
    <t xml:space="preserve"> 3 </t>
  </si>
  <si>
    <t>Serviços Auxiliares e Adm.</t>
  </si>
  <si>
    <t xml:space="preserve"> 3.1 </t>
  </si>
  <si>
    <t xml:space="preserve"> 10564 </t>
  </si>
  <si>
    <t>Medicamentos primeiros socorros</t>
  </si>
  <si>
    <t xml:space="preserve"> 3.2 </t>
  </si>
  <si>
    <t xml:space="preserve"> 10562 </t>
  </si>
  <si>
    <t>Material de escritório</t>
  </si>
  <si>
    <t xml:space="preserve"> 3.3 </t>
  </si>
  <si>
    <t xml:space="preserve"> 5554 </t>
  </si>
  <si>
    <t>PLOTAGEM DE PROJETOS, FOLHAS, DIAGRAMAS, PLANILHAS, DIARIO DE OBRAS, ETC (1 OBRA, 1 ESCRITÓRIO, 1 FISCALIZAÇÃO, 2 ASBUILT CONAB)</t>
  </si>
  <si>
    <t>Serviços</t>
  </si>
  <si>
    <t>un</t>
  </si>
  <si>
    <t xml:space="preserve"> 3.4 </t>
  </si>
  <si>
    <t xml:space="preserve"> 00037556 </t>
  </si>
  <si>
    <t>PLACA DE SINALIZACAO DE SEGURANCA "PERIGO ELETRICIDADE", FOTOLUMINESCENTE, QUADRADA, *20 X 20* CM, EM PVC *2* MM ANTI-CHAMAS (SIMBOLOS, CORES E PICTOGRAMAS CONFORME NBR 13434), (Indicação nos QD e Portas PC's)</t>
  </si>
  <si>
    <t>UN</t>
  </si>
  <si>
    <t xml:space="preserve"> 3.5 </t>
  </si>
  <si>
    <t xml:space="preserve"> 00042015 </t>
  </si>
  <si>
    <t>FITA PLAST. ZEBRADA, SINALIZAÇÃO AMARELA E PRETA 7CM (isolar áreas de risco/trabalhos)</t>
  </si>
  <si>
    <t xml:space="preserve"> 3.6 </t>
  </si>
  <si>
    <t xml:space="preserve"> 2450 </t>
  </si>
  <si>
    <t>LIMPEZA GERAL / LIMPEZA FINAL DE OBRA (C/ MATERIAIS)</t>
  </si>
  <si>
    <t>Limpeza</t>
  </si>
  <si>
    <t xml:space="preserve"> 4 </t>
  </si>
  <si>
    <t>QD1 - Forn., Montagem, Inst e Adaptação</t>
  </si>
  <si>
    <t xml:space="preserve"> 4.1 </t>
  </si>
  <si>
    <t xml:space="preserve"> 00012329 </t>
  </si>
  <si>
    <t>COBRE ELETROLÍTICO EM BARRA - P/ BARRAMENTO DE NEUTRO E TERRA</t>
  </si>
  <si>
    <t>KG</t>
  </si>
  <si>
    <t xml:space="preserve"> 4.2 </t>
  </si>
  <si>
    <t xml:space="preserve"> 11376 </t>
  </si>
  <si>
    <t>QUADRO GERAL DE DISTRIBUIÇÃO, EM CHAPA GALVALIZADA, MEDINDO 1200X 800X 250CM c/ barramento trifásico, Fechadura, aberturas superior, inferior e laterais. Adaptado e instalado no local.</t>
  </si>
  <si>
    <t>Conversão InfoWOrca</t>
  </si>
  <si>
    <t xml:space="preserve"> 4.3 </t>
  </si>
  <si>
    <t xml:space="preserve"> 93672 </t>
  </si>
  <si>
    <t>DISJUNTOR TRIPOLAR TIPO DIN, CORRENTE NOMINAL DE 40A - FORNECIMENTO E INSTALAÇÃO. AF_10/2020</t>
  </si>
  <si>
    <t>INEL - INSTALAÇÃO ELÉTRICA/ELETRIFICAÇÃO E ILUMINAÇÃO EXTERNA</t>
  </si>
  <si>
    <t xml:space="preserve"> 4.4 </t>
  </si>
  <si>
    <t xml:space="preserve"> 93673 </t>
  </si>
  <si>
    <t>DISJUNTOR TRIPOLAR TIPO DIN, CORRENTE NOMINAL DE 50A - FORNECIMENTO E INSTALAÇÃO. AF_10/2020</t>
  </si>
  <si>
    <t xml:space="preserve"> 4.5 </t>
  </si>
  <si>
    <t xml:space="preserve"> 452 </t>
  </si>
  <si>
    <t>Disjuntor termomagnetico tripolar  63 A, padrão DIN (Europeu - linha branca), curva C</t>
  </si>
  <si>
    <t>Fusíveis, Disjuntores e Chaves</t>
  </si>
  <si>
    <t xml:space="preserve"> 4.6 </t>
  </si>
  <si>
    <t xml:space="preserve"> 9004 </t>
  </si>
  <si>
    <t>Disjuntor termomagnetico tripolar  80 A, padrão DIN (Europeu - linha branca), curva C, 5KA</t>
  </si>
  <si>
    <t xml:space="preserve"> 4.7 </t>
  </si>
  <si>
    <t xml:space="preserve"> 8490 </t>
  </si>
  <si>
    <t>Disjuntor termomagnetico tripolar 100 A, padrão DIN (Europeu - linha branca), 10KA</t>
  </si>
  <si>
    <t xml:space="preserve"> 4.8 </t>
  </si>
  <si>
    <t xml:space="preserve"> 8078 </t>
  </si>
  <si>
    <t>Disjuntor termomagnetico tripolar 125 A, padrão DIN (Europeu - linha branca), 10KA</t>
  </si>
  <si>
    <t xml:space="preserve"> 4.9 </t>
  </si>
  <si>
    <t xml:space="preserve"> 9685 </t>
  </si>
  <si>
    <t>Disjuntor termomagnético tripolar 250 A com caixa moldada 10 kA</t>
  </si>
  <si>
    <t xml:space="preserve"> 4.10 </t>
  </si>
  <si>
    <t xml:space="preserve"> 7600 </t>
  </si>
  <si>
    <t>Disjuntor termomagnetico tripolar 400 A, padrão DIN (Europeu - linha branca), 65KA</t>
  </si>
  <si>
    <t xml:space="preserve"> 4.11 </t>
  </si>
  <si>
    <t xml:space="preserve"> 8894 </t>
  </si>
  <si>
    <t>Dispositivo de proteção contra surto de tensão DPS 40kA - 175v</t>
  </si>
  <si>
    <t xml:space="preserve"> 4.12 </t>
  </si>
  <si>
    <t xml:space="preserve"> 00000002 </t>
  </si>
  <si>
    <t>CANALETA PVC 110X50MM C/TAMPA INST EM QD ELT</t>
  </si>
  <si>
    <t xml:space="preserve"> 4.13 </t>
  </si>
  <si>
    <t xml:space="preserve"> 11731 </t>
  </si>
  <si>
    <t>Canaleta plástica 50 x 80mm, cinza, PVC</t>
  </si>
  <si>
    <t>m</t>
  </si>
  <si>
    <t xml:space="preserve"> 4.14 </t>
  </si>
  <si>
    <t xml:space="preserve"> 3418 </t>
  </si>
  <si>
    <t>Chapa em policarbonato mr-10, cor cristal, ge, espessura 4.5 mm (PROTEÇÃO DOS BARRAMENTOS)</t>
  </si>
  <si>
    <t xml:space="preserve"> 4.15 </t>
  </si>
  <si>
    <t xml:space="preserve"> 3449 </t>
  </si>
  <si>
    <t>Isolador epoxi  BT 50x50 Isolador epoxi BT 50x50 (PROTEÇÃO E BARRAS NEUTRO E TR)</t>
  </si>
  <si>
    <t xml:space="preserve"> 4.16 </t>
  </si>
  <si>
    <t xml:space="preserve"> 7659 </t>
  </si>
  <si>
    <t>Parafuso cabeça sextavada 1/4" x 3/4"</t>
  </si>
  <si>
    <t xml:space="preserve"> 4.17 </t>
  </si>
  <si>
    <t xml:space="preserve"> 9816 </t>
  </si>
  <si>
    <t>Arruela lisa zincada d=1/4"</t>
  </si>
  <si>
    <t>Interligações até Quadro Geral - Fios e Cabos</t>
  </si>
  <si>
    <t xml:space="preserve"> 4.18 </t>
  </si>
  <si>
    <t xml:space="preserve"> 11847 </t>
  </si>
  <si>
    <t>TRANSFORMADOR DE CORRENTE (TOROIDE) EXTERNO AO CABO 400/5A, inst.</t>
  </si>
  <si>
    <t>Subestação Transformadora em Poste</t>
  </si>
  <si>
    <t xml:space="preserve"> 4.19 </t>
  </si>
  <si>
    <t xml:space="preserve"> 11934 </t>
  </si>
  <si>
    <t>AMPERIMETRO (analóg. ou dig),400A (INDICADOR ) P/ 5A, compatível c/ TC e QD</t>
  </si>
  <si>
    <t xml:space="preserve"> 4.20 </t>
  </si>
  <si>
    <t xml:space="preserve"> 4491 </t>
  </si>
  <si>
    <t>CHAVE COMUTADORA DE AMPERIMETRO 0-A-B-C</t>
  </si>
  <si>
    <t xml:space="preserve"> 4.21 </t>
  </si>
  <si>
    <t xml:space="preserve"> 4495 </t>
  </si>
  <si>
    <t>VOLTIMETRO (analog. Ou dig.) 0 - 300V</t>
  </si>
  <si>
    <t xml:space="preserve"> 4.22 </t>
  </si>
  <si>
    <t xml:space="preserve"> 4492 </t>
  </si>
  <si>
    <t>CHAVE COMUTADORA VOLTIMETRO 0-FN-FF</t>
  </si>
  <si>
    <t xml:space="preserve"> 4.23 </t>
  </si>
  <si>
    <t xml:space="preserve"> 00001535 </t>
  </si>
  <si>
    <t>TERMINAL METALICO A PRESSAO PARA 1 CABO DE 10 MM2, COM 1 FURO DE FIXACAO</t>
  </si>
  <si>
    <t xml:space="preserve"> 4.24 </t>
  </si>
  <si>
    <t xml:space="preserve"> 00001585 </t>
  </si>
  <si>
    <t>TERMINAL METALICO A PRESSAO PARA 1 CABO DE 16 MM2, COM 1 FURO DE FIXACAO</t>
  </si>
  <si>
    <t xml:space="preserve"> 4.25 </t>
  </si>
  <si>
    <t xml:space="preserve"> 00001588 </t>
  </si>
  <si>
    <t>TERMINAL METALICO A PRESSAO PARA 1 CABO DE 50 MM2, COM 1 FURO DE FIXACAO</t>
  </si>
  <si>
    <t xml:space="preserve"> 4.26 </t>
  </si>
  <si>
    <t xml:space="preserve"> 00011838 </t>
  </si>
  <si>
    <t>TERMINAL METALICO A PRESSAO PARA 1 CABO DE 240 MM2, COM 1 FURO DE FIXACAO</t>
  </si>
  <si>
    <t xml:space="preserve"> 5 </t>
  </si>
  <si>
    <t>QD2 - Forn., Montagem, Inst e Adaptação</t>
  </si>
  <si>
    <t xml:space="preserve"> 5.1 </t>
  </si>
  <si>
    <t xml:space="preserve"> 5.2 </t>
  </si>
  <si>
    <t>QUADRO GERAL DE DISTRIBUIÇÃO, EM CHAPA GALVALIZADA, MEDINDO 1200X800X250CM c/ barramento trifásico, Fechadura, aberturas superior, inferior e laterais. Adaptado e instalado no local.</t>
  </si>
  <si>
    <t xml:space="preserve"> 5.3 </t>
  </si>
  <si>
    <t xml:space="preserve"> 5.4 </t>
  </si>
  <si>
    <t xml:space="preserve"> 5.5 </t>
  </si>
  <si>
    <t xml:space="preserve"> 5.6 </t>
  </si>
  <si>
    <t xml:space="preserve"> 5.7 </t>
  </si>
  <si>
    <t xml:space="preserve"> 5.8 </t>
  </si>
  <si>
    <t xml:space="preserve"> 5.9 </t>
  </si>
  <si>
    <t xml:space="preserve"> 5.10 </t>
  </si>
  <si>
    <t xml:space="preserve"> 5.11 </t>
  </si>
  <si>
    <t xml:space="preserve"> 5.12 </t>
  </si>
  <si>
    <t>Canaleta plástica 50 x 80mm, cinza, Hellerman ou similar</t>
  </si>
  <si>
    <t xml:space="preserve"> 5.13 </t>
  </si>
  <si>
    <t xml:space="preserve"> 5.14 </t>
  </si>
  <si>
    <t>Isolador epoxi  BT 50x50 Isolador epoxi BT 50x50 (PROTEÇÃO E BARRAS NEUTROT E TR)</t>
  </si>
  <si>
    <t xml:space="preserve"> 5.15 </t>
  </si>
  <si>
    <t xml:space="preserve"> 5.16 </t>
  </si>
  <si>
    <t xml:space="preserve"> 5.17 </t>
  </si>
  <si>
    <t xml:space="preserve"> 5.18 </t>
  </si>
  <si>
    <t xml:space="preserve"> 5.19 </t>
  </si>
  <si>
    <t xml:space="preserve"> 5.20 </t>
  </si>
  <si>
    <t xml:space="preserve"> 5.21 </t>
  </si>
  <si>
    <t xml:space="preserve"> 5.22 </t>
  </si>
  <si>
    <t>TERMINAL METALICO A PRESSAO PARA 1 CABO DE 6 A 10 MM2, COM 1 FURO DE FIXACAO</t>
  </si>
  <si>
    <t xml:space="preserve"> 5.23 </t>
  </si>
  <si>
    <t xml:space="preserve"> 5.24 </t>
  </si>
  <si>
    <t xml:space="preserve"> 5.25 </t>
  </si>
  <si>
    <t xml:space="preserve"> 6 </t>
  </si>
  <si>
    <t>QD Escritório - Forn., Montagem, Inst e Adaptação</t>
  </si>
  <si>
    <t xml:space="preserve"> 6.1 </t>
  </si>
  <si>
    <t>COBRE ELETROLITICO EM BARRA  - P/ BARRAMENTO DE NEUTRO E TERRA</t>
  </si>
  <si>
    <t xml:space="preserve"> 6.2 </t>
  </si>
  <si>
    <t xml:space="preserve"> 6.3 </t>
  </si>
  <si>
    <t xml:space="preserve"> 6.4 </t>
  </si>
  <si>
    <t xml:space="preserve"> 6.5 </t>
  </si>
  <si>
    <t xml:space="preserve"> 6.6 </t>
  </si>
  <si>
    <t xml:space="preserve"> 6.7 </t>
  </si>
  <si>
    <t xml:space="preserve"> 6.8 </t>
  </si>
  <si>
    <t xml:space="preserve"> 6.9 </t>
  </si>
  <si>
    <t xml:space="preserve"> 6.10 </t>
  </si>
  <si>
    <t xml:space="preserve"> 6.11 </t>
  </si>
  <si>
    <t xml:space="preserve"> 6.12 </t>
  </si>
  <si>
    <t>Canaleta plástica 50 x 80mm, cinza,PVC</t>
  </si>
  <si>
    <t xml:space="preserve"> 6.13 </t>
  </si>
  <si>
    <t>Chapa em policarbonato mr-10, cor cristal, ge, espessura 4.5 mm  (PROTEÇÃO DOS BARRAMENTOS)</t>
  </si>
  <si>
    <t xml:space="preserve"> 6.14 </t>
  </si>
  <si>
    <t xml:space="preserve"> 6.15 </t>
  </si>
  <si>
    <t xml:space="preserve"> 6.16 </t>
  </si>
  <si>
    <t xml:space="preserve"> 6.17 </t>
  </si>
  <si>
    <t>TRANSFORMADOR DE CORRENTE (TOROIDE) EXTERNO AO CABO 250/5A, inst.</t>
  </si>
  <si>
    <t xml:space="preserve"> 6.18 </t>
  </si>
  <si>
    <t>AMPERIMETRO (analóg. ou dig), 250A (INDICADOR ) P/ 5A, compatível c/ TC e QD</t>
  </si>
  <si>
    <t xml:space="preserve"> 6.19 </t>
  </si>
  <si>
    <t xml:space="preserve"> 6.20 </t>
  </si>
  <si>
    <t xml:space="preserve"> 6.21 </t>
  </si>
  <si>
    <t xml:space="preserve"> 6.22 </t>
  </si>
  <si>
    <t xml:space="preserve"> 6.23 </t>
  </si>
  <si>
    <t xml:space="preserve"> 6.24 </t>
  </si>
  <si>
    <t xml:space="preserve"> 6.25 </t>
  </si>
  <si>
    <t xml:space="preserve"> 7 </t>
  </si>
  <si>
    <t>Infraestrutura de Cabos</t>
  </si>
  <si>
    <t xml:space="preserve"> 7.1 </t>
  </si>
  <si>
    <t xml:space="preserve"> 92996 </t>
  </si>
  <si>
    <t>CABO DE COBRE FLEXÍVEL ISOLADO, 150 MM², ANTI-CHAMA 0,6/1,0 KV, PARA DISTRIBUIÇÃO - FORNECIMENTO E INSTALAÇÃO. AF_12/2015</t>
  </si>
  <si>
    <t xml:space="preserve"> 7.2 </t>
  </si>
  <si>
    <t xml:space="preserve"> 92992 </t>
  </si>
  <si>
    <t>CABO DE COBRE FLEXÍVEL ISOLADO, 95 MM², ANTI-CHAMA 0,6/1,0 KV, PARA DISTRIBUIÇÃO - FORNECIMENTO E INSTALAÇÃO. AF_12/2015</t>
  </si>
  <si>
    <t xml:space="preserve"> 7.3 </t>
  </si>
  <si>
    <t xml:space="preserve"> 00000863 </t>
  </si>
  <si>
    <t>CABO DE COBRE NU 35 MM2 MEIO-DURO</t>
  </si>
  <si>
    <t xml:space="preserve"> 7.4 </t>
  </si>
  <si>
    <t xml:space="preserve"> 93000 </t>
  </si>
  <si>
    <t>CABO DE COBRE FLEXÍVEL ISOLADO, 240 MM², ANTI-CHAMA 0,6/1,0 KV, PARA DISTRIBUIÇÃO - FORNECIMENTO E INSTALAÇÃO. AF_12/2015</t>
  </si>
  <si>
    <t xml:space="preserve"> 7.5 </t>
  </si>
  <si>
    <t xml:space="preserve"> 91929 </t>
  </si>
  <si>
    <t>CABO DE COBRE FLEXÍVEL ISOLADO, 4 MM², ANTI-CHAMA 0,6/1,0 KV, PARA CIRCUITOS TERMINAIS - FORNECIMENTO E INSTALAÇÃO. AF_12/2015</t>
  </si>
  <si>
    <t xml:space="preserve"> 7.6 </t>
  </si>
  <si>
    <t xml:space="preserve"> 91933 </t>
  </si>
  <si>
    <t>CABO DE COBRE FLEXÍVEL ISOLADO, 10 MM², ANTI-CHAMA 0,6/1,0 KV, PARA CIRCUITOS TERMINAIS - FORNECIMENTO E INSTALAÇÃO. AF_12/2015</t>
  </si>
  <si>
    <t xml:space="preserve"> 7.7 </t>
  </si>
  <si>
    <t xml:space="preserve"> 91935 </t>
  </si>
  <si>
    <t>CABO DE COBRE FLEXÍVEL ISOLADO, 16 MM², ANTI-CHAMA 0,6/1,0 KV, PARA CIRCUITOS TERMINAIS - FORNECIMENTO E INSTALAÇÃO. AF_12/2015</t>
  </si>
  <si>
    <t xml:space="preserve"> 7.8 </t>
  </si>
  <si>
    <t xml:space="preserve"> 92986 </t>
  </si>
  <si>
    <t>CABO DE COBRE FLEXÍVEL ISOLADO, 35 MM², ANTI-CHAMA 0,6/1,0 KV, PARA DISTRIBUIÇÃO - FORNECIMENTO E INSTALAÇÃO. AF_12/2015</t>
  </si>
  <si>
    <t xml:space="preserve"> 7.9 </t>
  </si>
  <si>
    <t xml:space="preserve"> 92988 </t>
  </si>
  <si>
    <t>CABO DE COBRE FLEXÍVEL ISOLADO, 50 MM², ANTI-CHAMA 0,6/1,0 KV, PARA DISTRIBUIÇÃO - FORNECIMENTO E INSTALAÇÃO. AF_12/2015</t>
  </si>
  <si>
    <t xml:space="preserve"> 7.10 </t>
  </si>
  <si>
    <t xml:space="preserve"> 00000411 </t>
  </si>
  <si>
    <t>ABRACADEIRA DE NYLON PARA AMARRACAO DE CABOS, COMPRIMENTO DE 200 X *4,6* MM (Passagem de cabos, arrumação circ., e quadros)</t>
  </si>
  <si>
    <t xml:space="preserve"> 7.11 </t>
  </si>
  <si>
    <t xml:space="preserve"> 00020111 </t>
  </si>
  <si>
    <t>FITA ISOLANTE ADESIVA ANTICHAMA, USO ATE 750 V, EM ROLO DE 19 MM X 20 M (emendas e acabamentos)</t>
  </si>
  <si>
    <t xml:space="preserve"> 7.12 </t>
  </si>
  <si>
    <t xml:space="preserve"> 00000404 </t>
  </si>
  <si>
    <t>FITA ISOLANTE DE BORRACHA AUTOFUSAO, USO ATE 69 KV (ALTA TENSAO) (emendas e acabamentos)</t>
  </si>
  <si>
    <t xml:space="preserve"> 7.13 </t>
  </si>
  <si>
    <t xml:space="preserve"> 00001562 </t>
  </si>
  <si>
    <t>CONECTOR METALICO TIPO PARAFUSO FENDIDO (SPLIT BOLT), P/ fixação cabo nú 35mm² em eletrocalha</t>
  </si>
  <si>
    <t xml:space="preserve"> 7.14 </t>
  </si>
  <si>
    <t xml:space="preserve"> 00001547 </t>
  </si>
  <si>
    <t>TERMINAL METALICO A PRESSAO PARA 1 CABO DE 150 A 185 MM2, COM 2 FUROS PARA FIXACAO</t>
  </si>
  <si>
    <t xml:space="preserve"> 7.15 </t>
  </si>
  <si>
    <t xml:space="preserve"> 00001546 </t>
  </si>
  <si>
    <t>TERMINAL METALICO A PRESSAO PARA 1 CABO DE 95 A 120 MM2, COM 2 FUROS PARA FIXACAO</t>
  </si>
  <si>
    <t xml:space="preserve"> 7.16 </t>
  </si>
  <si>
    <t xml:space="preserve"> 00002501 </t>
  </si>
  <si>
    <t>ELETRODUTO FLEXIVEL, EM ACO GALVANIZADO, REVESTIDO EXTERNAMENTE COM PVC PRETO, DIAMETRO EXTERNO DE 32 MM (1"), TIPO SEALTUBO</t>
  </si>
  <si>
    <t xml:space="preserve"> 7.17 </t>
  </si>
  <si>
    <t xml:space="preserve"> 4225 </t>
  </si>
  <si>
    <t>Terminal de conexão SPTF d=1" p/tubo metálico flex., Sealtubo ou similar, fornecimento</t>
  </si>
  <si>
    <t>Un</t>
  </si>
  <si>
    <t xml:space="preserve"> 7.18 </t>
  </si>
  <si>
    <t xml:space="preserve"> 00000393 </t>
  </si>
  <si>
    <t>ABRACADEIRA EM ACO PARA AMARRACAO DE ELETRODUTOS, TIPO D, COM 1" E PARAFUSO DE FIXACAO (fixação seal tube nos medidores e QD's)</t>
  </si>
  <si>
    <t xml:space="preserve"> 7.19 </t>
  </si>
  <si>
    <t xml:space="preserve"> 763 </t>
  </si>
  <si>
    <t>Fornecimento e instalação de eletrocalha perfurada 200 x 100 x 3000 mm (ref. mopa ou similar)</t>
  </si>
  <si>
    <t>Pontos de Suprimento de Lógica</t>
  </si>
  <si>
    <t xml:space="preserve"> 7.20 </t>
  </si>
  <si>
    <t xml:space="preserve"> 12574 </t>
  </si>
  <si>
    <t>Suporte vertical  200 x 150 mm  para fixação de eletrocalha metálica ( ref.: Mopa ou similar)</t>
  </si>
  <si>
    <t>Pontos de Suprimento de Energia para Computador</t>
  </si>
  <si>
    <t xml:space="preserve"> 7.21 </t>
  </si>
  <si>
    <t xml:space="preserve"> 11299 </t>
  </si>
  <si>
    <t>Fornecimento e instalação de mão francesa simples 200 mm</t>
  </si>
  <si>
    <t xml:space="preserve"> 7.22 </t>
  </si>
  <si>
    <t xml:space="preserve"> 3991 </t>
  </si>
  <si>
    <t>Tampa de encaixe 200 mm para eletrocalha metálica (ref.: mopa ou similar)</t>
  </si>
  <si>
    <t xml:space="preserve"> 7.23 </t>
  </si>
  <si>
    <t xml:space="preserve"> 00004332 </t>
  </si>
  <si>
    <t>PARAFUSO ZINCADO, SEXTAVADO, COM ROSCA INTEIRA, DIAMETRO 3/8", COMPRIMENTO 2"</t>
  </si>
  <si>
    <t xml:space="preserve"> 7.24 </t>
  </si>
  <si>
    <t xml:space="preserve"> 00004342 </t>
  </si>
  <si>
    <t>PORCA ZINCADA, SEXTAVADA, DIAMETRO 3/8"</t>
  </si>
  <si>
    <t xml:space="preserve"> 7.25 </t>
  </si>
  <si>
    <t xml:space="preserve"> 11072 </t>
  </si>
  <si>
    <t>Arruela lisa de 3/8"</t>
  </si>
  <si>
    <t xml:space="preserve"> 7.26 </t>
  </si>
  <si>
    <t xml:space="preserve"> 12498 </t>
  </si>
  <si>
    <t>Barra roscada bicromatizada ø 3/8" x 3000mm</t>
  </si>
  <si>
    <t>Interligações até Quadro Geral - Eletrodutos e Conexões</t>
  </si>
  <si>
    <t xml:space="preserve"> 7.27 </t>
  </si>
  <si>
    <t xml:space="preserve"> P.19.000.040516 </t>
  </si>
  <si>
    <t>CPOS</t>
  </si>
  <si>
    <t>Grampo ´C´ de Ø 3/8´ e balancim grande para perfilado, ref. BF-078+BF-081 Bandeirantes, RP 2033+RP 2034 Real Perfil ou equivalente</t>
  </si>
  <si>
    <t>cj</t>
  </si>
  <si>
    <t xml:space="preserve"> 7.28 </t>
  </si>
  <si>
    <t xml:space="preserve"> 12615 </t>
  </si>
  <si>
    <t>Prolongador 3/8" x 50mm, da Mopa ou similar</t>
  </si>
  <si>
    <t xml:space="preserve"> 7.29 </t>
  </si>
  <si>
    <t xml:space="preserve"> 00007568 </t>
  </si>
  <si>
    <t>BUCHA DE NYLON SEM ABA S10, COM PARAFUSO DE 6,10 X 65 MM EM ACO ZINCADO COM ROSCA SOBERBA, CABECA CHATA E FENDA PHILLIPS</t>
  </si>
  <si>
    <t xml:space="preserve"> 7.30 </t>
  </si>
  <si>
    <t xml:space="preserve"> 11295 </t>
  </si>
  <si>
    <t>Emenda interna 200 x 100 mm com base lisa perfurada para eletrocalha metálica (ref. Mopa ou similar)</t>
  </si>
  <si>
    <t xml:space="preserve"> 7.31 </t>
  </si>
  <si>
    <t xml:space="preserve"> 12494 </t>
  </si>
  <si>
    <t>Parafuso cabeça lentilha auto-travante 1/4" x 3/4", bicromatizada</t>
  </si>
  <si>
    <t>Pontos de Suprimento de Telefone</t>
  </si>
  <si>
    <t xml:space="preserve"> 7.32 </t>
  </si>
  <si>
    <t xml:space="preserve"> 12495 </t>
  </si>
  <si>
    <t>Porca sextavada 1/4", bicromatizada</t>
  </si>
  <si>
    <t xml:space="preserve"> 7.33 </t>
  </si>
  <si>
    <t xml:space="preserve"> 7.34 </t>
  </si>
  <si>
    <t xml:space="preserve"> 12538 </t>
  </si>
  <si>
    <t>Arruela de pressão 1/4"</t>
  </si>
  <si>
    <t xml:space="preserve"> 7.35 </t>
  </si>
  <si>
    <t xml:space="preserve"> 11289 </t>
  </si>
  <si>
    <t>Curva vertical 200 x 100 mm para eletrocalha metálica, com ângulo 90° (ref.: mopa ou similar)</t>
  </si>
  <si>
    <t xml:space="preserve"> 7.36 </t>
  </si>
  <si>
    <t xml:space="preserve"> 13379 </t>
  </si>
  <si>
    <t>Tampa de encaixe 200mm para Tê , para eletrocalha metálica (ref.: mopa ou similar)</t>
  </si>
  <si>
    <t xml:space="preserve"> 7.37 </t>
  </si>
  <si>
    <t xml:space="preserve"> 11293 </t>
  </si>
  <si>
    <t>Tê vertical 200 x 100 mm para eletrocalha metálica  (ref.: mopa ou similar)</t>
  </si>
  <si>
    <t xml:space="preserve"> 8 </t>
  </si>
  <si>
    <t>Entrada de Energia (Troca de Disj. / Manut Barram.)</t>
  </si>
  <si>
    <t xml:space="preserve"> 8.1 </t>
  </si>
  <si>
    <t>DISJUNTOR REGULÁVEL 1000 a 2500A, COMPLETO completamente compatível c/ existente. Incluso todos os materiais, troca, adaptação, instalação e programação.</t>
  </si>
  <si>
    <t xml:space="preserve"> 8.2 </t>
  </si>
  <si>
    <t>COBRE ELETROLÍTICO EM BARRA - P/ substituição nas conexões com disjuntor, e barramentos danificados.</t>
  </si>
  <si>
    <t xml:space="preserve"> 8.3 </t>
  </si>
  <si>
    <t xml:space="preserve"> 00004329 </t>
  </si>
  <si>
    <t>PARAFUSO ROSCA MÁQUINA PARA UNIÃO DOS BARRAMENTOS</t>
  </si>
  <si>
    <t xml:space="preserve"> 8.4 </t>
  </si>
  <si>
    <t xml:space="preserve"> 3784 </t>
  </si>
  <si>
    <t>PORCA SEXTAVADA ROSCA MÁQUINA PARA UNIÃO DOS BARRAMENTOS</t>
  </si>
  <si>
    <t xml:space="preserve"> 8.5 </t>
  </si>
  <si>
    <t xml:space="preserve"> 7872 </t>
  </si>
  <si>
    <t>ARRUELA DE PRESSÃO PARA UNIÃO DOS BARRAMENTOS</t>
  </si>
  <si>
    <t xml:space="preserve"> 8.6 </t>
  </si>
  <si>
    <t xml:space="preserve"> 13451 </t>
  </si>
  <si>
    <t>ARRUELA LISA PARA UNIÃO DOS BARRAMENTOS</t>
  </si>
  <si>
    <t>Total sem BDI</t>
  </si>
  <si>
    <t>Total do BDI</t>
  </si>
  <si>
    <t>Total Geral</t>
  </si>
  <si>
    <t xml:space="preserve">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</si>
</sst>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%"/>
  </numFmts>
  <fonts count="2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6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6" fontId="14" fillId="15" borderId="12" xfId="0" applyNumberFormat="1" applyFont="1" applyFill="1" applyBorder="1" applyAlignment="1">
      <alignment horizontal="right" vertical="top" wrapText="1"/>
    </xf>
    <xf numFmtId="0" fontId="15" fillId="16" borderId="13" xfId="0" applyFont="1" applyFill="1" applyBorder="1" applyAlignment="1">
      <alignment horizontal="left" vertical="top" wrapText="1"/>
    </xf>
    <xf numFmtId="0" fontId="16" fillId="17" borderId="14" xfId="0" applyFont="1" applyFill="1" applyBorder="1" applyAlignment="1">
      <alignment horizontal="center" vertical="top" wrapText="1"/>
    </xf>
    <xf numFmtId="0" fontId="17" fillId="18" borderId="15" xfId="0" applyFont="1" applyFill="1" applyBorder="1" applyAlignment="1">
      <alignment horizontal="right" vertical="top" wrapText="1"/>
    </xf>
    <xf numFmtId="4" fontId="18" fillId="19" borderId="16" xfId="0" applyNumberFormat="1" applyFont="1" applyFill="1" applyBorder="1" applyAlignment="1">
      <alignment horizontal="right" vertical="top" wrapText="1"/>
    </xf>
    <xf numFmtId="166" fontId="19" fillId="20" borderId="17" xfId="0" applyNumberFormat="1" applyFont="1" applyFill="1" applyBorder="1" applyAlignment="1">
      <alignment horizontal="right" vertical="top" wrapText="1"/>
    </xf>
    <xf numFmtId="0" fontId="20" fillId="21" borderId="0" xfId="0" applyFont="1" applyFill="1" applyAlignment="1">
      <alignment horizontal="left" vertical="top" wrapText="1"/>
    </xf>
    <xf numFmtId="0" fontId="21" fillId="22" borderId="0" xfId="0" applyFont="1" applyFill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0" fontId="24" fillId="25" borderId="0" xfId="0" applyFont="1" applyFill="1" applyAlignment="1">
      <alignment horizontal="left" vertical="top" wrapText="1"/>
    </xf>
    <xf numFmtId="0" fontId="25" fillId="26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4" fontId="23" fillId="24" borderId="0" xfId="0" applyNumberFormat="1" applyFont="1" applyFill="1" applyAlignment="1">
      <alignment horizontal="right" vertical="top" wrapText="1"/>
    </xf>
    <xf numFmtId="0" fontId="25" fillId="26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tabSelected="1" showOutlineSymbols="0" showWhiteSpace="0" workbookViewId="0"/>
  </sheetViews>
  <sheetFormatPr defaultRowHeight="14.25" x14ac:dyDescent="0.2"/>
  <cols>
    <col min="1" max="3" width="10" bestFit="1" customWidth="1"/>
    <col min="4" max="4" width="60" bestFit="1" customWidth="1"/>
    <col min="5" max="5" width="30" bestFit="1" customWidth="1"/>
    <col min="6" max="6" width="5" bestFit="1" customWidth="1"/>
    <col min="7" max="13" width="10" bestFit="1" customWidth="1"/>
  </cols>
  <sheetData>
    <row r="1" spans="1:13" ht="15" x14ac:dyDescent="0.2">
      <c r="A1" s="1"/>
      <c r="B1" s="1"/>
      <c r="C1" s="1"/>
      <c r="D1" s="1" t="s">
        <v>0</v>
      </c>
      <c r="E1" s="1" t="s">
        <v>1</v>
      </c>
      <c r="F1" s="22" t="s">
        <v>2</v>
      </c>
      <c r="G1" s="22"/>
      <c r="H1" s="22"/>
      <c r="I1" s="22" t="s">
        <v>3</v>
      </c>
      <c r="J1" s="22"/>
      <c r="K1" s="22"/>
      <c r="L1" s="22"/>
      <c r="M1" s="22"/>
    </row>
    <row r="2" spans="1:13" ht="80.099999999999994" customHeight="1" x14ac:dyDescent="0.2">
      <c r="A2" s="17"/>
      <c r="B2" s="17"/>
      <c r="C2" s="17"/>
      <c r="D2" s="17" t="s">
        <v>4</v>
      </c>
      <c r="E2" s="17" t="s">
        <v>5</v>
      </c>
      <c r="F2" s="23" t="s">
        <v>6</v>
      </c>
      <c r="G2" s="23"/>
      <c r="H2" s="23"/>
      <c r="I2" s="23" t="s">
        <v>7</v>
      </c>
      <c r="J2" s="23"/>
      <c r="K2" s="23"/>
      <c r="L2" s="23"/>
      <c r="M2" s="23"/>
    </row>
    <row r="3" spans="1:13" ht="15" x14ac:dyDescent="0.25">
      <c r="A3" s="24" t="s">
        <v>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" customHeight="1" x14ac:dyDescent="0.2">
      <c r="A4" s="26" t="s">
        <v>9</v>
      </c>
      <c r="B4" s="27" t="s">
        <v>10</v>
      </c>
      <c r="C4" s="26" t="s">
        <v>11</v>
      </c>
      <c r="D4" s="26" t="s">
        <v>12</v>
      </c>
      <c r="E4" s="26" t="s">
        <v>13</v>
      </c>
      <c r="F4" s="28" t="s">
        <v>14</v>
      </c>
      <c r="G4" s="27" t="s">
        <v>15</v>
      </c>
      <c r="H4" s="27" t="s">
        <v>16</v>
      </c>
      <c r="I4" s="27" t="s">
        <v>17</v>
      </c>
      <c r="J4" s="28" t="s">
        <v>18</v>
      </c>
      <c r="K4" s="27"/>
      <c r="L4" s="27" t="s">
        <v>19</v>
      </c>
      <c r="M4" s="27" t="s">
        <v>20</v>
      </c>
    </row>
    <row r="5" spans="1:13" ht="1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" t="s">
        <v>21</v>
      </c>
      <c r="K5" s="2" t="s">
        <v>22</v>
      </c>
      <c r="L5" s="27"/>
      <c r="M5" s="27"/>
    </row>
    <row r="6" spans="1:13" ht="24" customHeight="1" x14ac:dyDescent="0.2">
      <c r="A6" s="3" t="s">
        <v>23</v>
      </c>
      <c r="B6" s="3"/>
      <c r="C6" s="3"/>
      <c r="D6" s="3" t="s">
        <v>24</v>
      </c>
      <c r="E6" s="3"/>
      <c r="F6" s="3"/>
      <c r="G6" s="4"/>
      <c r="H6" s="3"/>
      <c r="I6" s="3"/>
      <c r="J6" s="3"/>
      <c r="K6" s="3"/>
      <c r="L6" s="5">
        <v>7631.42</v>
      </c>
      <c r="M6" s="6">
        <v>3.5458105262355794E-2</v>
      </c>
    </row>
    <row r="7" spans="1:13" ht="24" customHeight="1" x14ac:dyDescent="0.2">
      <c r="A7" s="12" t="s">
        <v>25</v>
      </c>
      <c r="B7" s="14" t="s">
        <v>26</v>
      </c>
      <c r="C7" s="12" t="s">
        <v>27</v>
      </c>
      <c r="D7" s="12" t="s">
        <v>28</v>
      </c>
      <c r="E7" s="12" t="s">
        <v>29</v>
      </c>
      <c r="F7" s="13" t="s">
        <v>30</v>
      </c>
      <c r="G7" s="14">
        <v>2</v>
      </c>
      <c r="H7" s="15">
        <v>233.94</v>
      </c>
      <c r="I7" s="15">
        <v>287.23</v>
      </c>
      <c r="J7" s="15">
        <v>0</v>
      </c>
      <c r="K7" s="15">
        <v>0</v>
      </c>
      <c r="L7" s="15">
        <f>574.46</f>
        <v>574.46</v>
      </c>
      <c r="M7" s="16">
        <v>2.6691314524705636E-3</v>
      </c>
    </row>
    <row r="8" spans="1:13" ht="72" customHeight="1" x14ac:dyDescent="0.2">
      <c r="A8" s="12" t="s">
        <v>31</v>
      </c>
      <c r="B8" s="14" t="s">
        <v>32</v>
      </c>
      <c r="C8" s="12" t="s">
        <v>33</v>
      </c>
      <c r="D8" s="12" t="s">
        <v>34</v>
      </c>
      <c r="E8" s="12" t="s">
        <v>18</v>
      </c>
      <c r="F8" s="13" t="s">
        <v>35</v>
      </c>
      <c r="G8" s="14">
        <v>48</v>
      </c>
      <c r="H8" s="15">
        <v>21.26</v>
      </c>
      <c r="I8" s="15">
        <v>26.1</v>
      </c>
      <c r="J8" s="15">
        <v>1252.8</v>
      </c>
      <c r="K8" s="15">
        <v>100</v>
      </c>
      <c r="L8" s="15">
        <f>1252.8</f>
        <v>1252.8</v>
      </c>
      <c r="M8" s="16">
        <v>5.820923795660485E-3</v>
      </c>
    </row>
    <row r="9" spans="1:13" ht="60" customHeight="1" x14ac:dyDescent="0.2">
      <c r="A9" s="12" t="s">
        <v>36</v>
      </c>
      <c r="B9" s="14" t="s">
        <v>37</v>
      </c>
      <c r="C9" s="12" t="s">
        <v>33</v>
      </c>
      <c r="D9" s="12" t="s">
        <v>38</v>
      </c>
      <c r="E9" s="12" t="s">
        <v>18</v>
      </c>
      <c r="F9" s="13" t="s">
        <v>35</v>
      </c>
      <c r="G9" s="14">
        <v>48</v>
      </c>
      <c r="H9" s="15">
        <v>98.49</v>
      </c>
      <c r="I9" s="15">
        <v>120.92</v>
      </c>
      <c r="J9" s="15">
        <v>5804.16</v>
      </c>
      <c r="K9" s="15">
        <v>100</v>
      </c>
      <c r="L9" s="15">
        <f>5804.16</f>
        <v>5804.16</v>
      </c>
      <c r="M9" s="16">
        <v>2.6968050014224743E-2</v>
      </c>
    </row>
    <row r="10" spans="1:13" ht="24" customHeight="1" x14ac:dyDescent="0.2">
      <c r="A10" s="3" t="s">
        <v>39</v>
      </c>
      <c r="B10" s="3"/>
      <c r="C10" s="3"/>
      <c r="D10" s="3" t="s">
        <v>40</v>
      </c>
      <c r="E10" s="3"/>
      <c r="F10" s="3"/>
      <c r="G10" s="4"/>
      <c r="H10" s="3"/>
      <c r="I10" s="3"/>
      <c r="J10" s="3"/>
      <c r="K10" s="3"/>
      <c r="L10" s="5">
        <v>5037.63</v>
      </c>
      <c r="M10" s="6">
        <v>2.3406497717698857E-2</v>
      </c>
    </row>
    <row r="11" spans="1:13" ht="36" customHeight="1" x14ac:dyDescent="0.2">
      <c r="A11" s="7" t="s">
        <v>41</v>
      </c>
      <c r="B11" s="9" t="s">
        <v>42</v>
      </c>
      <c r="C11" s="7" t="s">
        <v>43</v>
      </c>
      <c r="D11" s="7" t="s">
        <v>44</v>
      </c>
      <c r="E11" s="7" t="s">
        <v>45</v>
      </c>
      <c r="F11" s="8" t="s">
        <v>46</v>
      </c>
      <c r="G11" s="9">
        <v>88</v>
      </c>
      <c r="H11" s="10">
        <v>7.05</v>
      </c>
      <c r="I11" s="10">
        <v>8.65</v>
      </c>
      <c r="J11" s="10">
        <v>0</v>
      </c>
      <c r="K11" s="10">
        <v>0</v>
      </c>
      <c r="L11" s="10">
        <f>761.2</f>
        <v>761.2</v>
      </c>
      <c r="M11" s="11">
        <v>3.5367873509393045E-3</v>
      </c>
    </row>
    <row r="12" spans="1:13" ht="24" customHeight="1" x14ac:dyDescent="0.2">
      <c r="A12" s="12" t="s">
        <v>47</v>
      </c>
      <c r="B12" s="14" t="s">
        <v>48</v>
      </c>
      <c r="C12" s="12" t="s">
        <v>43</v>
      </c>
      <c r="D12" s="12" t="s">
        <v>49</v>
      </c>
      <c r="E12" s="12" t="s">
        <v>50</v>
      </c>
      <c r="F12" s="13" t="s">
        <v>51</v>
      </c>
      <c r="G12" s="14">
        <v>3</v>
      </c>
      <c r="H12" s="15">
        <v>13.75</v>
      </c>
      <c r="I12" s="15">
        <v>16.88</v>
      </c>
      <c r="J12" s="15">
        <v>0</v>
      </c>
      <c r="K12" s="15">
        <v>0</v>
      </c>
      <c r="L12" s="15">
        <f>50.64</f>
        <v>50.64</v>
      </c>
      <c r="M12" s="16">
        <v>2.3529021472880503E-4</v>
      </c>
    </row>
    <row r="13" spans="1:13" ht="24" customHeight="1" x14ac:dyDescent="0.2">
      <c r="A13" s="7" t="s">
        <v>52</v>
      </c>
      <c r="B13" s="9" t="s">
        <v>53</v>
      </c>
      <c r="C13" s="7" t="s">
        <v>33</v>
      </c>
      <c r="D13" s="7" t="s">
        <v>54</v>
      </c>
      <c r="E13" s="7" t="s">
        <v>55</v>
      </c>
      <c r="F13" s="8" t="s">
        <v>56</v>
      </c>
      <c r="G13" s="9">
        <v>10</v>
      </c>
      <c r="H13" s="10">
        <v>96.29</v>
      </c>
      <c r="I13" s="10">
        <v>118.22</v>
      </c>
      <c r="J13" s="10">
        <v>215.5</v>
      </c>
      <c r="K13" s="10">
        <v>18.23</v>
      </c>
      <c r="L13" s="10">
        <f>1182.2</f>
        <v>1182.2</v>
      </c>
      <c r="M13" s="11">
        <v>5.4928928090914953E-3</v>
      </c>
    </row>
    <row r="14" spans="1:13" ht="36" customHeight="1" x14ac:dyDescent="0.2">
      <c r="A14" s="12" t="s">
        <v>57</v>
      </c>
      <c r="B14" s="14" t="s">
        <v>58</v>
      </c>
      <c r="C14" s="12" t="s">
        <v>33</v>
      </c>
      <c r="D14" s="12" t="s">
        <v>59</v>
      </c>
      <c r="E14" s="12" t="s">
        <v>50</v>
      </c>
      <c r="F14" s="13" t="s">
        <v>56</v>
      </c>
      <c r="G14" s="14">
        <v>2</v>
      </c>
      <c r="H14" s="15">
        <v>200</v>
      </c>
      <c r="I14" s="15">
        <v>245.56</v>
      </c>
      <c r="J14" s="15">
        <v>0</v>
      </c>
      <c r="K14" s="15">
        <v>0</v>
      </c>
      <c r="L14" s="15">
        <f>491.12</f>
        <v>491.12</v>
      </c>
      <c r="M14" s="16">
        <v>2.281906205719011E-3</v>
      </c>
    </row>
    <row r="15" spans="1:13" ht="24" customHeight="1" x14ac:dyDescent="0.2">
      <c r="A15" s="12" t="s">
        <v>60</v>
      </c>
      <c r="B15" s="14" t="s">
        <v>61</v>
      </c>
      <c r="C15" s="12" t="s">
        <v>33</v>
      </c>
      <c r="D15" s="12" t="s">
        <v>62</v>
      </c>
      <c r="E15" s="12" t="s">
        <v>63</v>
      </c>
      <c r="F15" s="13" t="s">
        <v>64</v>
      </c>
      <c r="G15" s="14">
        <v>30</v>
      </c>
      <c r="H15" s="15">
        <v>18</v>
      </c>
      <c r="I15" s="15">
        <v>22.1</v>
      </c>
      <c r="J15" s="15">
        <v>0</v>
      </c>
      <c r="K15" s="15">
        <v>0</v>
      </c>
      <c r="L15" s="15">
        <f>663</f>
        <v>663</v>
      </c>
      <c r="M15" s="16">
        <v>3.0805176217456108E-3</v>
      </c>
    </row>
    <row r="16" spans="1:13" ht="36" customHeight="1" x14ac:dyDescent="0.2">
      <c r="A16" s="12" t="s">
        <v>65</v>
      </c>
      <c r="B16" s="14" t="s">
        <v>66</v>
      </c>
      <c r="C16" s="12" t="s">
        <v>33</v>
      </c>
      <c r="D16" s="12" t="s">
        <v>67</v>
      </c>
      <c r="E16" s="12" t="s">
        <v>63</v>
      </c>
      <c r="F16" s="13" t="s">
        <v>68</v>
      </c>
      <c r="G16" s="14">
        <v>3</v>
      </c>
      <c r="H16" s="15">
        <v>425.78</v>
      </c>
      <c r="I16" s="15">
        <v>522.77</v>
      </c>
      <c r="J16" s="15">
        <v>0</v>
      </c>
      <c r="K16" s="15">
        <v>0</v>
      </c>
      <c r="L16" s="15">
        <f>1568.31</f>
        <v>1568.31</v>
      </c>
      <c r="M16" s="16">
        <v>7.2868877697735432E-3</v>
      </c>
    </row>
    <row r="17" spans="1:13" ht="24" customHeight="1" x14ac:dyDescent="0.2">
      <c r="A17" s="7" t="s">
        <v>69</v>
      </c>
      <c r="B17" s="9" t="s">
        <v>70</v>
      </c>
      <c r="C17" s="7" t="s">
        <v>33</v>
      </c>
      <c r="D17" s="7" t="s">
        <v>71</v>
      </c>
      <c r="E17" s="7" t="s">
        <v>72</v>
      </c>
      <c r="F17" s="8" t="s">
        <v>73</v>
      </c>
      <c r="G17" s="9">
        <v>2</v>
      </c>
      <c r="H17" s="10">
        <v>14.16</v>
      </c>
      <c r="I17" s="10">
        <v>17.38</v>
      </c>
      <c r="J17" s="10">
        <v>26.32</v>
      </c>
      <c r="K17" s="10">
        <v>75.72</v>
      </c>
      <c r="L17" s="10">
        <f>34.76</f>
        <v>34.76</v>
      </c>
      <c r="M17" s="11">
        <v>1.6150647440705496E-4</v>
      </c>
    </row>
    <row r="18" spans="1:13" ht="24" customHeight="1" x14ac:dyDescent="0.2">
      <c r="A18" s="7" t="s">
        <v>74</v>
      </c>
      <c r="B18" s="9" t="s">
        <v>75</v>
      </c>
      <c r="C18" s="7" t="s">
        <v>33</v>
      </c>
      <c r="D18" s="7" t="s">
        <v>76</v>
      </c>
      <c r="E18" s="7" t="s">
        <v>77</v>
      </c>
      <c r="F18" s="8" t="s">
        <v>73</v>
      </c>
      <c r="G18" s="9">
        <v>10</v>
      </c>
      <c r="H18" s="10">
        <v>23.33</v>
      </c>
      <c r="I18" s="10">
        <v>28.64</v>
      </c>
      <c r="J18" s="10">
        <v>219.1</v>
      </c>
      <c r="K18" s="10">
        <v>76.5</v>
      </c>
      <c r="L18" s="10">
        <f>286.4</f>
        <v>286.39999999999998</v>
      </c>
      <c r="M18" s="11">
        <v>1.3307092712940315E-3</v>
      </c>
    </row>
    <row r="19" spans="1:13" ht="24" customHeight="1" x14ac:dyDescent="0.2">
      <c r="A19" s="3" t="s">
        <v>78</v>
      </c>
      <c r="B19" s="3"/>
      <c r="C19" s="3"/>
      <c r="D19" s="3" t="s">
        <v>79</v>
      </c>
      <c r="E19" s="3"/>
      <c r="F19" s="3"/>
      <c r="G19" s="4"/>
      <c r="H19" s="3"/>
      <c r="I19" s="3"/>
      <c r="J19" s="3"/>
      <c r="K19" s="3"/>
      <c r="L19" s="5">
        <v>1903.92</v>
      </c>
      <c r="M19" s="6">
        <v>8.8462430021024191E-3</v>
      </c>
    </row>
    <row r="20" spans="1:13" ht="24" customHeight="1" x14ac:dyDescent="0.2">
      <c r="A20" s="12" t="s">
        <v>80</v>
      </c>
      <c r="B20" s="14" t="s">
        <v>81</v>
      </c>
      <c r="C20" s="12" t="s">
        <v>43</v>
      </c>
      <c r="D20" s="12" t="s">
        <v>82</v>
      </c>
      <c r="E20" s="12" t="s">
        <v>50</v>
      </c>
      <c r="F20" s="13" t="s">
        <v>51</v>
      </c>
      <c r="G20" s="14">
        <v>3</v>
      </c>
      <c r="H20" s="15">
        <v>30.51</v>
      </c>
      <c r="I20" s="15">
        <v>37.46</v>
      </c>
      <c r="J20" s="15">
        <v>0</v>
      </c>
      <c r="K20" s="15">
        <v>0</v>
      </c>
      <c r="L20" s="15">
        <f>112.38</f>
        <v>112.38</v>
      </c>
      <c r="M20" s="16">
        <v>5.2215470638276276E-4</v>
      </c>
    </row>
    <row r="21" spans="1:13" ht="24" customHeight="1" x14ac:dyDescent="0.2">
      <c r="A21" s="12" t="s">
        <v>83</v>
      </c>
      <c r="B21" s="14" t="s">
        <v>84</v>
      </c>
      <c r="C21" s="12" t="s">
        <v>43</v>
      </c>
      <c r="D21" s="12" t="s">
        <v>85</v>
      </c>
      <c r="E21" s="12" t="s">
        <v>50</v>
      </c>
      <c r="F21" s="13" t="s">
        <v>51</v>
      </c>
      <c r="G21" s="14">
        <v>3</v>
      </c>
      <c r="H21" s="15">
        <v>30</v>
      </c>
      <c r="I21" s="15">
        <v>36.83</v>
      </c>
      <c r="J21" s="15">
        <v>0</v>
      </c>
      <c r="K21" s="15">
        <v>0</v>
      </c>
      <c r="L21" s="15">
        <f>110.49</f>
        <v>110.49</v>
      </c>
      <c r="M21" s="16">
        <v>5.1337314031172331E-4</v>
      </c>
    </row>
    <row r="22" spans="1:13" ht="36" customHeight="1" x14ac:dyDescent="0.2">
      <c r="A22" s="12" t="s">
        <v>86</v>
      </c>
      <c r="B22" s="14" t="s">
        <v>87</v>
      </c>
      <c r="C22" s="12" t="s">
        <v>43</v>
      </c>
      <c r="D22" s="12" t="s">
        <v>88</v>
      </c>
      <c r="E22" s="12" t="s">
        <v>89</v>
      </c>
      <c r="F22" s="13" t="s">
        <v>90</v>
      </c>
      <c r="G22" s="14">
        <v>5</v>
      </c>
      <c r="H22" s="15">
        <v>2.7</v>
      </c>
      <c r="I22" s="15">
        <v>3.31</v>
      </c>
      <c r="J22" s="15">
        <v>0</v>
      </c>
      <c r="K22" s="15">
        <v>0</v>
      </c>
      <c r="L22" s="15">
        <f>16.55</f>
        <v>16.55</v>
      </c>
      <c r="M22" s="16">
        <v>7.6896782262277311E-5</v>
      </c>
    </row>
    <row r="23" spans="1:13" ht="60" customHeight="1" x14ac:dyDescent="0.2">
      <c r="A23" s="12" t="s">
        <v>91</v>
      </c>
      <c r="B23" s="14" t="s">
        <v>92</v>
      </c>
      <c r="C23" s="12" t="s">
        <v>33</v>
      </c>
      <c r="D23" s="12" t="s">
        <v>93</v>
      </c>
      <c r="E23" s="12" t="s">
        <v>50</v>
      </c>
      <c r="F23" s="13" t="s">
        <v>94</v>
      </c>
      <c r="G23" s="14">
        <v>5</v>
      </c>
      <c r="H23" s="15">
        <v>57.83</v>
      </c>
      <c r="I23" s="15">
        <v>71</v>
      </c>
      <c r="J23" s="15">
        <v>0</v>
      </c>
      <c r="K23" s="15">
        <v>0</v>
      </c>
      <c r="L23" s="15">
        <f>355</f>
        <v>355</v>
      </c>
      <c r="M23" s="16">
        <v>1.6494475953539847E-3</v>
      </c>
    </row>
    <row r="24" spans="1:13" ht="24" customHeight="1" x14ac:dyDescent="0.2">
      <c r="A24" s="12" t="s">
        <v>95</v>
      </c>
      <c r="B24" s="14" t="s">
        <v>96</v>
      </c>
      <c r="C24" s="12" t="s">
        <v>33</v>
      </c>
      <c r="D24" s="12" t="s">
        <v>97</v>
      </c>
      <c r="E24" s="12" t="s">
        <v>50</v>
      </c>
      <c r="F24" s="13" t="s">
        <v>73</v>
      </c>
      <c r="G24" s="14">
        <v>150</v>
      </c>
      <c r="H24" s="15">
        <v>2.52</v>
      </c>
      <c r="I24" s="15">
        <v>3.09</v>
      </c>
      <c r="J24" s="15">
        <v>0</v>
      </c>
      <c r="K24" s="15">
        <v>0</v>
      </c>
      <c r="L24" s="15">
        <f>463.5</f>
        <v>463.5</v>
      </c>
      <c r="M24" s="16">
        <v>2.1535745364692168E-3</v>
      </c>
    </row>
    <row r="25" spans="1:13" ht="24" customHeight="1" x14ac:dyDescent="0.2">
      <c r="A25" s="7" t="s">
        <v>98</v>
      </c>
      <c r="B25" s="9" t="s">
        <v>99</v>
      </c>
      <c r="C25" s="7" t="s">
        <v>43</v>
      </c>
      <c r="D25" s="7" t="s">
        <v>100</v>
      </c>
      <c r="E25" s="7" t="s">
        <v>101</v>
      </c>
      <c r="F25" s="8" t="s">
        <v>56</v>
      </c>
      <c r="G25" s="9">
        <v>300</v>
      </c>
      <c r="H25" s="10">
        <v>2.2999999999999998</v>
      </c>
      <c r="I25" s="10">
        <v>2.82</v>
      </c>
      <c r="J25" s="10">
        <v>564</v>
      </c>
      <c r="K25" s="10">
        <v>66.67</v>
      </c>
      <c r="L25" s="10">
        <f>846</f>
        <v>846</v>
      </c>
      <c r="M25" s="11">
        <v>3.9307962413224536E-3</v>
      </c>
    </row>
    <row r="26" spans="1:13" ht="24" customHeight="1" x14ac:dyDescent="0.2">
      <c r="A26" s="3" t="s">
        <v>102</v>
      </c>
      <c r="B26" s="3"/>
      <c r="C26" s="3"/>
      <c r="D26" s="3" t="s">
        <v>103</v>
      </c>
      <c r="E26" s="3"/>
      <c r="F26" s="3"/>
      <c r="G26" s="4"/>
      <c r="H26" s="3"/>
      <c r="I26" s="3"/>
      <c r="J26" s="3"/>
      <c r="K26" s="3"/>
      <c r="L26" s="5">
        <v>16114.79</v>
      </c>
      <c r="M26" s="6">
        <v>7.4874652436998423E-2</v>
      </c>
    </row>
    <row r="27" spans="1:13" ht="24" customHeight="1" x14ac:dyDescent="0.2">
      <c r="A27" s="12" t="s">
        <v>104</v>
      </c>
      <c r="B27" s="14" t="s">
        <v>105</v>
      </c>
      <c r="C27" s="12" t="s">
        <v>33</v>
      </c>
      <c r="D27" s="12" t="s">
        <v>106</v>
      </c>
      <c r="E27" s="12" t="s">
        <v>50</v>
      </c>
      <c r="F27" s="13" t="s">
        <v>107</v>
      </c>
      <c r="G27" s="14">
        <v>1</v>
      </c>
      <c r="H27" s="15">
        <v>110.43</v>
      </c>
      <c r="I27" s="15">
        <v>135.58000000000001</v>
      </c>
      <c r="J27" s="15">
        <v>0</v>
      </c>
      <c r="K27" s="15">
        <v>0</v>
      </c>
      <c r="L27" s="15">
        <f>135.58</f>
        <v>135.58000000000001</v>
      </c>
      <c r="M27" s="16">
        <v>6.2994959148758665E-4</v>
      </c>
    </row>
    <row r="28" spans="1:13" ht="48" customHeight="1" x14ac:dyDescent="0.2">
      <c r="A28" s="7" t="s">
        <v>108</v>
      </c>
      <c r="B28" s="9" t="s">
        <v>109</v>
      </c>
      <c r="C28" s="7" t="s">
        <v>43</v>
      </c>
      <c r="D28" s="7" t="s">
        <v>110</v>
      </c>
      <c r="E28" s="7" t="s">
        <v>111</v>
      </c>
      <c r="F28" s="8" t="s">
        <v>90</v>
      </c>
      <c r="G28" s="9">
        <v>1</v>
      </c>
      <c r="H28" s="10">
        <v>2893.99</v>
      </c>
      <c r="I28" s="10">
        <v>3553.24</v>
      </c>
      <c r="J28" s="10">
        <v>359.84</v>
      </c>
      <c r="K28" s="10">
        <v>10.130000000000001</v>
      </c>
      <c r="L28" s="10">
        <f>3553.24</f>
        <v>3553.24</v>
      </c>
      <c r="M28" s="11">
        <v>1.6509530066804487E-2</v>
      </c>
    </row>
    <row r="29" spans="1:13" ht="24" customHeight="1" x14ac:dyDescent="0.2">
      <c r="A29" s="7" t="s">
        <v>112</v>
      </c>
      <c r="B29" s="9" t="s">
        <v>113</v>
      </c>
      <c r="C29" s="7" t="s">
        <v>33</v>
      </c>
      <c r="D29" s="7" t="s">
        <v>114</v>
      </c>
      <c r="E29" s="7" t="s">
        <v>115</v>
      </c>
      <c r="F29" s="8" t="s">
        <v>94</v>
      </c>
      <c r="G29" s="9">
        <v>3</v>
      </c>
      <c r="H29" s="10">
        <v>79.430000000000007</v>
      </c>
      <c r="I29" s="10">
        <v>97.52</v>
      </c>
      <c r="J29" s="10">
        <v>55.47</v>
      </c>
      <c r="K29" s="10">
        <v>18.96</v>
      </c>
      <c r="L29" s="10">
        <f>292.56</f>
        <v>292.56</v>
      </c>
      <c r="M29" s="11">
        <v>1.3593306718218642E-3</v>
      </c>
    </row>
    <row r="30" spans="1:13" ht="24" customHeight="1" x14ac:dyDescent="0.2">
      <c r="A30" s="7" t="s">
        <v>116</v>
      </c>
      <c r="B30" s="9" t="s">
        <v>117</v>
      </c>
      <c r="C30" s="7" t="s">
        <v>33</v>
      </c>
      <c r="D30" s="7" t="s">
        <v>118</v>
      </c>
      <c r="E30" s="7" t="s">
        <v>115</v>
      </c>
      <c r="F30" s="8" t="s">
        <v>94</v>
      </c>
      <c r="G30" s="9">
        <v>3</v>
      </c>
      <c r="H30" s="10">
        <v>88.43</v>
      </c>
      <c r="I30" s="10">
        <v>108.57</v>
      </c>
      <c r="J30" s="10">
        <v>77.61</v>
      </c>
      <c r="K30" s="10">
        <v>23.83</v>
      </c>
      <c r="L30" s="10">
        <f>325.71</f>
        <v>325.70999999999998</v>
      </c>
      <c r="M30" s="11">
        <v>1.5133565529091447E-3</v>
      </c>
    </row>
    <row r="31" spans="1:13" ht="24" customHeight="1" x14ac:dyDescent="0.2">
      <c r="A31" s="7" t="s">
        <v>119</v>
      </c>
      <c r="B31" s="9" t="s">
        <v>120</v>
      </c>
      <c r="C31" s="7" t="s">
        <v>43</v>
      </c>
      <c r="D31" s="7" t="s">
        <v>121</v>
      </c>
      <c r="E31" s="7" t="s">
        <v>122</v>
      </c>
      <c r="F31" s="8" t="s">
        <v>90</v>
      </c>
      <c r="G31" s="9">
        <v>6</v>
      </c>
      <c r="H31" s="10">
        <v>110.54</v>
      </c>
      <c r="I31" s="10">
        <v>135.72</v>
      </c>
      <c r="J31" s="10">
        <v>269.88</v>
      </c>
      <c r="K31" s="10">
        <v>33.14</v>
      </c>
      <c r="L31" s="10">
        <f>814.32</f>
        <v>814.32</v>
      </c>
      <c r="M31" s="11">
        <v>3.783600467179315E-3</v>
      </c>
    </row>
    <row r="32" spans="1:13" ht="24" customHeight="1" x14ac:dyDescent="0.2">
      <c r="A32" s="7" t="s">
        <v>123</v>
      </c>
      <c r="B32" s="9" t="s">
        <v>124</v>
      </c>
      <c r="C32" s="7" t="s">
        <v>43</v>
      </c>
      <c r="D32" s="7" t="s">
        <v>125</v>
      </c>
      <c r="E32" s="7" t="s">
        <v>122</v>
      </c>
      <c r="F32" s="8" t="s">
        <v>90</v>
      </c>
      <c r="G32" s="9">
        <v>4</v>
      </c>
      <c r="H32" s="10">
        <v>146.15</v>
      </c>
      <c r="I32" s="10">
        <v>179.44</v>
      </c>
      <c r="J32" s="10">
        <v>179.92</v>
      </c>
      <c r="K32" s="10">
        <v>25.07</v>
      </c>
      <c r="L32" s="10">
        <f>717.76</f>
        <v>717.76</v>
      </c>
      <c r="M32" s="11">
        <v>3.3349507212430312E-3</v>
      </c>
    </row>
    <row r="33" spans="1:13" ht="24" customHeight="1" x14ac:dyDescent="0.2">
      <c r="A33" s="7" t="s">
        <v>126</v>
      </c>
      <c r="B33" s="9" t="s">
        <v>127</v>
      </c>
      <c r="C33" s="7" t="s">
        <v>43</v>
      </c>
      <c r="D33" s="7" t="s">
        <v>128</v>
      </c>
      <c r="E33" s="7" t="s">
        <v>122</v>
      </c>
      <c r="F33" s="8" t="s">
        <v>90</v>
      </c>
      <c r="G33" s="9">
        <v>3</v>
      </c>
      <c r="H33" s="10">
        <v>486.7</v>
      </c>
      <c r="I33" s="10">
        <v>597.57000000000005</v>
      </c>
      <c r="J33" s="10">
        <v>269.88</v>
      </c>
      <c r="K33" s="10">
        <v>15.05</v>
      </c>
      <c r="L33" s="10">
        <f>1792.71</f>
        <v>1792.71</v>
      </c>
      <c r="M33" s="11">
        <v>8.3295245032874426E-3</v>
      </c>
    </row>
    <row r="34" spans="1:13" ht="24" customHeight="1" x14ac:dyDescent="0.2">
      <c r="A34" s="7" t="s">
        <v>129</v>
      </c>
      <c r="B34" s="9" t="s">
        <v>130</v>
      </c>
      <c r="C34" s="7" t="s">
        <v>43</v>
      </c>
      <c r="D34" s="7" t="s">
        <v>131</v>
      </c>
      <c r="E34" s="7" t="s">
        <v>122</v>
      </c>
      <c r="F34" s="8" t="s">
        <v>90</v>
      </c>
      <c r="G34" s="9">
        <v>2</v>
      </c>
      <c r="H34" s="10">
        <v>384.91</v>
      </c>
      <c r="I34" s="10">
        <v>472.59</v>
      </c>
      <c r="J34" s="10">
        <v>179.92</v>
      </c>
      <c r="K34" s="10">
        <v>19.04</v>
      </c>
      <c r="L34" s="10">
        <f>945.18</f>
        <v>945.18</v>
      </c>
      <c r="M34" s="11">
        <v>4.3916193751455754E-3</v>
      </c>
    </row>
    <row r="35" spans="1:13" ht="24" customHeight="1" x14ac:dyDescent="0.2">
      <c r="A35" s="7" t="s">
        <v>132</v>
      </c>
      <c r="B35" s="9" t="s">
        <v>133</v>
      </c>
      <c r="C35" s="7" t="s">
        <v>43</v>
      </c>
      <c r="D35" s="7" t="s">
        <v>134</v>
      </c>
      <c r="E35" s="7" t="s">
        <v>122</v>
      </c>
      <c r="F35" s="8" t="s">
        <v>90</v>
      </c>
      <c r="G35" s="9">
        <v>2</v>
      </c>
      <c r="H35" s="10">
        <v>1186.3900000000001</v>
      </c>
      <c r="I35" s="10">
        <v>1456.64</v>
      </c>
      <c r="J35" s="10">
        <v>53.94</v>
      </c>
      <c r="K35" s="10">
        <v>1.85</v>
      </c>
      <c r="L35" s="10">
        <f>2913.28</f>
        <v>2913.28</v>
      </c>
      <c r="M35" s="11">
        <v>1.3536063917162977E-2</v>
      </c>
    </row>
    <row r="36" spans="1:13" ht="24" customHeight="1" x14ac:dyDescent="0.2">
      <c r="A36" s="7" t="s">
        <v>135</v>
      </c>
      <c r="B36" s="9" t="s">
        <v>136</v>
      </c>
      <c r="C36" s="7" t="s">
        <v>43</v>
      </c>
      <c r="D36" s="7" t="s">
        <v>137</v>
      </c>
      <c r="E36" s="7" t="s">
        <v>122</v>
      </c>
      <c r="F36" s="8" t="s">
        <v>90</v>
      </c>
      <c r="G36" s="9">
        <v>1</v>
      </c>
      <c r="H36" s="10">
        <v>1609.16</v>
      </c>
      <c r="I36" s="10">
        <v>1975.72</v>
      </c>
      <c r="J36" s="10">
        <v>89.96</v>
      </c>
      <c r="K36" s="10">
        <v>4.55</v>
      </c>
      <c r="L36" s="10">
        <f>1975.72</f>
        <v>1975.72</v>
      </c>
      <c r="M36" s="11">
        <v>9.1798495861768296E-3</v>
      </c>
    </row>
    <row r="37" spans="1:13" ht="24" customHeight="1" x14ac:dyDescent="0.2">
      <c r="A37" s="7" t="s">
        <v>138</v>
      </c>
      <c r="B37" s="9" t="s">
        <v>139</v>
      </c>
      <c r="C37" s="7" t="s">
        <v>43</v>
      </c>
      <c r="D37" s="7" t="s">
        <v>140</v>
      </c>
      <c r="E37" s="7" t="s">
        <v>122</v>
      </c>
      <c r="F37" s="8" t="s">
        <v>90</v>
      </c>
      <c r="G37" s="9">
        <v>4</v>
      </c>
      <c r="H37" s="10">
        <v>65.58</v>
      </c>
      <c r="I37" s="10">
        <v>80.510000000000005</v>
      </c>
      <c r="J37" s="10">
        <v>53.92</v>
      </c>
      <c r="K37" s="10">
        <v>16.739999999999998</v>
      </c>
      <c r="L37" s="10">
        <f>322.04</f>
        <v>322.04000000000002</v>
      </c>
      <c r="M37" s="11">
        <v>1.4963045172050626E-3</v>
      </c>
    </row>
    <row r="38" spans="1:13" ht="24" customHeight="1" x14ac:dyDescent="0.2">
      <c r="A38" s="12" t="s">
        <v>141</v>
      </c>
      <c r="B38" s="14" t="s">
        <v>142</v>
      </c>
      <c r="C38" s="12" t="s">
        <v>27</v>
      </c>
      <c r="D38" s="12" t="s">
        <v>143</v>
      </c>
      <c r="E38" s="12" t="s">
        <v>63</v>
      </c>
      <c r="F38" s="13" t="s">
        <v>73</v>
      </c>
      <c r="G38" s="14">
        <v>2</v>
      </c>
      <c r="H38" s="15">
        <v>23.4</v>
      </c>
      <c r="I38" s="15">
        <v>28.73</v>
      </c>
      <c r="J38" s="15">
        <v>0</v>
      </c>
      <c r="K38" s="15">
        <v>0</v>
      </c>
      <c r="L38" s="15">
        <f>57.46</f>
        <v>57.46</v>
      </c>
      <c r="M38" s="16">
        <v>2.6697819388461959E-4</v>
      </c>
    </row>
    <row r="39" spans="1:13" ht="24" customHeight="1" x14ac:dyDescent="0.2">
      <c r="A39" s="12" t="s">
        <v>144</v>
      </c>
      <c r="B39" s="14" t="s">
        <v>145</v>
      </c>
      <c r="C39" s="12" t="s">
        <v>43</v>
      </c>
      <c r="D39" s="12" t="s">
        <v>146</v>
      </c>
      <c r="E39" s="12" t="s">
        <v>50</v>
      </c>
      <c r="F39" s="13" t="s">
        <v>147</v>
      </c>
      <c r="G39" s="14">
        <v>1</v>
      </c>
      <c r="H39" s="15">
        <v>27.28</v>
      </c>
      <c r="I39" s="15">
        <v>33.49</v>
      </c>
      <c r="J39" s="15">
        <v>0</v>
      </c>
      <c r="K39" s="15">
        <v>0</v>
      </c>
      <c r="L39" s="15">
        <f>33.49</f>
        <v>33.49</v>
      </c>
      <c r="M39" s="16">
        <v>1.5560563371381676E-4</v>
      </c>
    </row>
    <row r="40" spans="1:13" ht="24" customHeight="1" x14ac:dyDescent="0.2">
      <c r="A40" s="7" t="s">
        <v>148</v>
      </c>
      <c r="B40" s="9" t="s">
        <v>149</v>
      </c>
      <c r="C40" s="7" t="s">
        <v>43</v>
      </c>
      <c r="D40" s="7" t="s">
        <v>150</v>
      </c>
      <c r="E40" s="7" t="s">
        <v>111</v>
      </c>
      <c r="F40" s="8" t="s">
        <v>56</v>
      </c>
      <c r="G40" s="9">
        <v>0.25</v>
      </c>
      <c r="H40" s="10">
        <v>1411.22</v>
      </c>
      <c r="I40" s="10">
        <v>1732.69</v>
      </c>
      <c r="J40" s="10">
        <v>0</v>
      </c>
      <c r="K40" s="10">
        <v>0</v>
      </c>
      <c r="L40" s="10">
        <f>433.17</f>
        <v>433.17</v>
      </c>
      <c r="M40" s="11">
        <v>2.0126513095196775E-3</v>
      </c>
    </row>
    <row r="41" spans="1:13" ht="24" customHeight="1" x14ac:dyDescent="0.2">
      <c r="A41" s="12" t="s">
        <v>151</v>
      </c>
      <c r="B41" s="14" t="s">
        <v>152</v>
      </c>
      <c r="C41" s="12" t="s">
        <v>43</v>
      </c>
      <c r="D41" s="12" t="s">
        <v>153</v>
      </c>
      <c r="E41" s="12" t="s">
        <v>50</v>
      </c>
      <c r="F41" s="13" t="s">
        <v>90</v>
      </c>
      <c r="G41" s="14">
        <v>8</v>
      </c>
      <c r="H41" s="15">
        <v>21</v>
      </c>
      <c r="I41" s="15">
        <v>25.78</v>
      </c>
      <c r="J41" s="15">
        <v>0</v>
      </c>
      <c r="K41" s="15">
        <v>0</v>
      </c>
      <c r="L41" s="15">
        <f>206.24</f>
        <v>206.24</v>
      </c>
      <c r="M41" s="16">
        <v>9.5825935793184729E-4</v>
      </c>
    </row>
    <row r="42" spans="1:13" ht="24" customHeight="1" x14ac:dyDescent="0.2">
      <c r="A42" s="12" t="s">
        <v>154</v>
      </c>
      <c r="B42" s="14" t="s">
        <v>155</v>
      </c>
      <c r="C42" s="12" t="s">
        <v>43</v>
      </c>
      <c r="D42" s="12" t="s">
        <v>156</v>
      </c>
      <c r="E42" s="12" t="s">
        <v>50</v>
      </c>
      <c r="F42" s="13" t="s">
        <v>90</v>
      </c>
      <c r="G42" s="14">
        <v>16</v>
      </c>
      <c r="H42" s="15">
        <v>0.42</v>
      </c>
      <c r="I42" s="15">
        <v>0.51</v>
      </c>
      <c r="J42" s="15">
        <v>0</v>
      </c>
      <c r="K42" s="15">
        <v>0</v>
      </c>
      <c r="L42" s="15">
        <f>8.16</f>
        <v>8.16</v>
      </c>
      <c r="M42" s="16">
        <v>3.7914063036869056E-5</v>
      </c>
    </row>
    <row r="43" spans="1:13" ht="24" customHeight="1" x14ac:dyDescent="0.2">
      <c r="A43" s="7" t="s">
        <v>157</v>
      </c>
      <c r="B43" s="9" t="s">
        <v>158</v>
      </c>
      <c r="C43" s="7" t="s">
        <v>43</v>
      </c>
      <c r="D43" s="7" t="s">
        <v>159</v>
      </c>
      <c r="E43" s="7" t="s">
        <v>160</v>
      </c>
      <c r="F43" s="8" t="s">
        <v>90</v>
      </c>
      <c r="G43" s="9">
        <v>16</v>
      </c>
      <c r="H43" s="10">
        <v>0.45</v>
      </c>
      <c r="I43" s="10">
        <v>0.55000000000000004</v>
      </c>
      <c r="J43" s="10">
        <v>6.88</v>
      </c>
      <c r="K43" s="10">
        <v>78.180000000000007</v>
      </c>
      <c r="L43" s="10">
        <f>8.8</f>
        <v>8.8000000000000007</v>
      </c>
      <c r="M43" s="11">
        <v>4.0887715039760749E-5</v>
      </c>
    </row>
    <row r="44" spans="1:13" ht="24" customHeight="1" x14ac:dyDescent="0.2">
      <c r="A44" s="7" t="s">
        <v>161</v>
      </c>
      <c r="B44" s="9" t="s">
        <v>162</v>
      </c>
      <c r="C44" s="7" t="s">
        <v>43</v>
      </c>
      <c r="D44" s="7" t="s">
        <v>163</v>
      </c>
      <c r="E44" s="7" t="s">
        <v>164</v>
      </c>
      <c r="F44" s="8" t="s">
        <v>90</v>
      </c>
      <c r="G44" s="9">
        <v>3</v>
      </c>
      <c r="H44" s="10">
        <v>156.16999999999999</v>
      </c>
      <c r="I44" s="10">
        <v>191.74</v>
      </c>
      <c r="J44" s="10">
        <v>67.47</v>
      </c>
      <c r="K44" s="10">
        <v>11.73</v>
      </c>
      <c r="L44" s="10">
        <f>575.22</f>
        <v>575.22</v>
      </c>
      <c r="M44" s="11">
        <v>2.6726626642239975E-3</v>
      </c>
    </row>
    <row r="45" spans="1:13" ht="24" customHeight="1" x14ac:dyDescent="0.2">
      <c r="A45" s="12" t="s">
        <v>165</v>
      </c>
      <c r="B45" s="14" t="s">
        <v>166</v>
      </c>
      <c r="C45" s="12" t="s">
        <v>43</v>
      </c>
      <c r="D45" s="12" t="s">
        <v>167</v>
      </c>
      <c r="E45" s="12" t="s">
        <v>50</v>
      </c>
      <c r="F45" s="13" t="s">
        <v>90</v>
      </c>
      <c r="G45" s="14">
        <v>1</v>
      </c>
      <c r="H45" s="15">
        <v>185.99</v>
      </c>
      <c r="I45" s="15">
        <v>228.35</v>
      </c>
      <c r="J45" s="15">
        <v>0</v>
      </c>
      <c r="K45" s="15">
        <v>0</v>
      </c>
      <c r="L45" s="15">
        <f>228.35</f>
        <v>228.35</v>
      </c>
      <c r="M45" s="16">
        <v>1.0609897419692463E-3</v>
      </c>
    </row>
    <row r="46" spans="1:13" ht="24" customHeight="1" x14ac:dyDescent="0.2">
      <c r="A46" s="12" t="s">
        <v>168</v>
      </c>
      <c r="B46" s="14" t="s">
        <v>169</v>
      </c>
      <c r="C46" s="12" t="s">
        <v>43</v>
      </c>
      <c r="D46" s="12" t="s">
        <v>170</v>
      </c>
      <c r="E46" s="12" t="s">
        <v>50</v>
      </c>
      <c r="F46" s="13" t="s">
        <v>90</v>
      </c>
      <c r="G46" s="14">
        <v>1</v>
      </c>
      <c r="H46" s="15">
        <v>141.5</v>
      </c>
      <c r="I46" s="15">
        <v>173.73</v>
      </c>
      <c r="J46" s="15">
        <v>0</v>
      </c>
      <c r="K46" s="15">
        <v>0</v>
      </c>
      <c r="L46" s="15">
        <f>173.73</f>
        <v>173.73</v>
      </c>
      <c r="M46" s="16">
        <v>8.0720712884745853E-4</v>
      </c>
    </row>
    <row r="47" spans="1:13" ht="24" customHeight="1" x14ac:dyDescent="0.2">
      <c r="A47" s="12" t="s">
        <v>171</v>
      </c>
      <c r="B47" s="14" t="s">
        <v>172</v>
      </c>
      <c r="C47" s="12" t="s">
        <v>43</v>
      </c>
      <c r="D47" s="12" t="s">
        <v>173</v>
      </c>
      <c r="E47" s="12" t="s">
        <v>50</v>
      </c>
      <c r="F47" s="13" t="s">
        <v>90</v>
      </c>
      <c r="G47" s="14">
        <v>1</v>
      </c>
      <c r="H47" s="15">
        <v>173.36</v>
      </c>
      <c r="I47" s="15">
        <v>212.85</v>
      </c>
      <c r="J47" s="15">
        <v>0</v>
      </c>
      <c r="K47" s="15">
        <v>0</v>
      </c>
      <c r="L47" s="15">
        <f>212.85</f>
        <v>212.85</v>
      </c>
      <c r="M47" s="16">
        <v>9.8897160752421318E-4</v>
      </c>
    </row>
    <row r="48" spans="1:13" ht="24" customHeight="1" x14ac:dyDescent="0.2">
      <c r="A48" s="12" t="s">
        <v>174</v>
      </c>
      <c r="B48" s="14" t="s">
        <v>175</v>
      </c>
      <c r="C48" s="12" t="s">
        <v>43</v>
      </c>
      <c r="D48" s="12" t="s">
        <v>176</v>
      </c>
      <c r="E48" s="12" t="s">
        <v>50</v>
      </c>
      <c r="F48" s="13" t="s">
        <v>90</v>
      </c>
      <c r="G48" s="14">
        <v>1</v>
      </c>
      <c r="H48" s="15">
        <v>120.3</v>
      </c>
      <c r="I48" s="15">
        <v>147.69999999999999</v>
      </c>
      <c r="J48" s="15">
        <v>0</v>
      </c>
      <c r="K48" s="15">
        <v>0</v>
      </c>
      <c r="L48" s="15">
        <f>147.7</f>
        <v>147.69999999999999</v>
      </c>
      <c r="M48" s="16">
        <v>6.86263126292348E-4</v>
      </c>
    </row>
    <row r="49" spans="1:13" ht="24" customHeight="1" x14ac:dyDescent="0.2">
      <c r="A49" s="12" t="s">
        <v>177</v>
      </c>
      <c r="B49" s="14" t="s">
        <v>178</v>
      </c>
      <c r="C49" s="12" t="s">
        <v>33</v>
      </c>
      <c r="D49" s="12" t="s">
        <v>179</v>
      </c>
      <c r="E49" s="12" t="s">
        <v>50</v>
      </c>
      <c r="F49" s="13" t="s">
        <v>94</v>
      </c>
      <c r="G49" s="14">
        <v>6</v>
      </c>
      <c r="H49" s="15">
        <v>3.95</v>
      </c>
      <c r="I49" s="15">
        <v>4.84</v>
      </c>
      <c r="J49" s="15">
        <v>0</v>
      </c>
      <c r="K49" s="15">
        <v>0</v>
      </c>
      <c r="L49" s="15">
        <f>29.04</f>
        <v>29.04</v>
      </c>
      <c r="M49" s="16">
        <v>1.3492945963121047E-4</v>
      </c>
    </row>
    <row r="50" spans="1:13" ht="24" customHeight="1" x14ac:dyDescent="0.2">
      <c r="A50" s="12" t="s">
        <v>180</v>
      </c>
      <c r="B50" s="14" t="s">
        <v>181</v>
      </c>
      <c r="C50" s="12" t="s">
        <v>33</v>
      </c>
      <c r="D50" s="12" t="s">
        <v>182</v>
      </c>
      <c r="E50" s="12" t="s">
        <v>50</v>
      </c>
      <c r="F50" s="13" t="s">
        <v>94</v>
      </c>
      <c r="G50" s="14">
        <v>6</v>
      </c>
      <c r="H50" s="15">
        <v>3.88</v>
      </c>
      <c r="I50" s="15">
        <v>4.76</v>
      </c>
      <c r="J50" s="15">
        <v>0</v>
      </c>
      <c r="K50" s="15">
        <v>0</v>
      </c>
      <c r="L50" s="15">
        <f>28.56</f>
        <v>28.56</v>
      </c>
      <c r="M50" s="16">
        <v>1.3269922062904169E-4</v>
      </c>
    </row>
    <row r="51" spans="1:13" ht="24" customHeight="1" x14ac:dyDescent="0.2">
      <c r="A51" s="12" t="s">
        <v>183</v>
      </c>
      <c r="B51" s="14" t="s">
        <v>184</v>
      </c>
      <c r="C51" s="12" t="s">
        <v>33</v>
      </c>
      <c r="D51" s="12" t="s">
        <v>185</v>
      </c>
      <c r="E51" s="12" t="s">
        <v>50</v>
      </c>
      <c r="F51" s="13" t="s">
        <v>94</v>
      </c>
      <c r="G51" s="14">
        <v>6</v>
      </c>
      <c r="H51" s="15">
        <v>6.86</v>
      </c>
      <c r="I51" s="15">
        <v>8.42</v>
      </c>
      <c r="J51" s="15">
        <v>0</v>
      </c>
      <c r="K51" s="15">
        <v>0</v>
      </c>
      <c r="L51" s="15">
        <f>50.52</f>
        <v>50.52</v>
      </c>
      <c r="M51" s="16">
        <v>2.3473265497826284E-4</v>
      </c>
    </row>
    <row r="52" spans="1:13" ht="24" customHeight="1" x14ac:dyDescent="0.2">
      <c r="A52" s="12" t="s">
        <v>186</v>
      </c>
      <c r="B52" s="14" t="s">
        <v>187</v>
      </c>
      <c r="C52" s="12" t="s">
        <v>33</v>
      </c>
      <c r="D52" s="12" t="s">
        <v>188</v>
      </c>
      <c r="E52" s="12" t="s">
        <v>50</v>
      </c>
      <c r="F52" s="13" t="s">
        <v>94</v>
      </c>
      <c r="G52" s="14">
        <v>4</v>
      </c>
      <c r="H52" s="15">
        <v>27.17</v>
      </c>
      <c r="I52" s="15">
        <v>33.35</v>
      </c>
      <c r="J52" s="15">
        <v>0</v>
      </c>
      <c r="K52" s="15">
        <v>0</v>
      </c>
      <c r="L52" s="15">
        <f>133.4</f>
        <v>133.4</v>
      </c>
      <c r="M52" s="16">
        <v>6.1982058935273674E-4</v>
      </c>
    </row>
    <row r="53" spans="1:13" ht="24" customHeight="1" x14ac:dyDescent="0.2">
      <c r="A53" s="3" t="s">
        <v>189</v>
      </c>
      <c r="B53" s="3"/>
      <c r="C53" s="3"/>
      <c r="D53" s="3" t="s">
        <v>190</v>
      </c>
      <c r="E53" s="3"/>
      <c r="F53" s="3"/>
      <c r="G53" s="4"/>
      <c r="H53" s="3"/>
      <c r="I53" s="3"/>
      <c r="J53" s="3"/>
      <c r="K53" s="3"/>
      <c r="L53" s="5">
        <v>13495.37</v>
      </c>
      <c r="M53" s="6">
        <v>6.270395942228818E-2</v>
      </c>
    </row>
    <row r="54" spans="1:13" ht="24" customHeight="1" x14ac:dyDescent="0.2">
      <c r="A54" s="12" t="s">
        <v>191</v>
      </c>
      <c r="B54" s="14" t="s">
        <v>105</v>
      </c>
      <c r="C54" s="12" t="s">
        <v>33</v>
      </c>
      <c r="D54" s="12" t="s">
        <v>106</v>
      </c>
      <c r="E54" s="12" t="s">
        <v>50</v>
      </c>
      <c r="F54" s="13" t="s">
        <v>107</v>
      </c>
      <c r="G54" s="14">
        <v>1</v>
      </c>
      <c r="H54" s="15">
        <v>110.43</v>
      </c>
      <c r="I54" s="15">
        <v>135.58000000000001</v>
      </c>
      <c r="J54" s="15">
        <v>0</v>
      </c>
      <c r="K54" s="15">
        <v>0</v>
      </c>
      <c r="L54" s="15">
        <f>135.58</f>
        <v>135.58000000000001</v>
      </c>
      <c r="M54" s="16">
        <v>6.2994959148758665E-4</v>
      </c>
    </row>
    <row r="55" spans="1:13" ht="48" customHeight="1" x14ac:dyDescent="0.2">
      <c r="A55" s="7" t="s">
        <v>192</v>
      </c>
      <c r="B55" s="9" t="s">
        <v>109</v>
      </c>
      <c r="C55" s="7" t="s">
        <v>43</v>
      </c>
      <c r="D55" s="7" t="s">
        <v>193</v>
      </c>
      <c r="E55" s="7" t="s">
        <v>111</v>
      </c>
      <c r="F55" s="8" t="s">
        <v>90</v>
      </c>
      <c r="G55" s="9">
        <v>1</v>
      </c>
      <c r="H55" s="10">
        <v>2893.99</v>
      </c>
      <c r="I55" s="10">
        <v>3553.24</v>
      </c>
      <c r="J55" s="10">
        <v>359.84</v>
      </c>
      <c r="K55" s="10">
        <v>10.130000000000001</v>
      </c>
      <c r="L55" s="10">
        <f>3553.24</f>
        <v>3553.24</v>
      </c>
      <c r="M55" s="11">
        <v>1.6509530066804487E-2</v>
      </c>
    </row>
    <row r="56" spans="1:13" ht="24" customHeight="1" x14ac:dyDescent="0.2">
      <c r="A56" s="7" t="s">
        <v>194</v>
      </c>
      <c r="B56" s="9" t="s">
        <v>113</v>
      </c>
      <c r="C56" s="7" t="s">
        <v>33</v>
      </c>
      <c r="D56" s="7" t="s">
        <v>114</v>
      </c>
      <c r="E56" s="7" t="s">
        <v>115</v>
      </c>
      <c r="F56" s="8" t="s">
        <v>94</v>
      </c>
      <c r="G56" s="9">
        <v>6</v>
      </c>
      <c r="H56" s="10">
        <v>79.430000000000007</v>
      </c>
      <c r="I56" s="10">
        <v>97.52</v>
      </c>
      <c r="J56" s="10">
        <v>110.94</v>
      </c>
      <c r="K56" s="10">
        <v>18.96</v>
      </c>
      <c r="L56" s="10">
        <f>585.12</f>
        <v>585.12</v>
      </c>
      <c r="M56" s="11">
        <v>2.7186613436437283E-3</v>
      </c>
    </row>
    <row r="57" spans="1:13" ht="24" customHeight="1" x14ac:dyDescent="0.2">
      <c r="A57" s="7" t="s">
        <v>195</v>
      </c>
      <c r="B57" s="9" t="s">
        <v>117</v>
      </c>
      <c r="C57" s="7" t="s">
        <v>33</v>
      </c>
      <c r="D57" s="7" t="s">
        <v>118</v>
      </c>
      <c r="E57" s="7" t="s">
        <v>115</v>
      </c>
      <c r="F57" s="8" t="s">
        <v>94</v>
      </c>
      <c r="G57" s="9">
        <v>3</v>
      </c>
      <c r="H57" s="10">
        <v>88.43</v>
      </c>
      <c r="I57" s="10">
        <v>108.57</v>
      </c>
      <c r="J57" s="10">
        <v>77.61</v>
      </c>
      <c r="K57" s="10">
        <v>23.83</v>
      </c>
      <c r="L57" s="10">
        <f>325.71</f>
        <v>325.70999999999998</v>
      </c>
      <c r="M57" s="11">
        <v>1.5133565529091447E-3</v>
      </c>
    </row>
    <row r="58" spans="1:13" ht="24" customHeight="1" x14ac:dyDescent="0.2">
      <c r="A58" s="7" t="s">
        <v>196</v>
      </c>
      <c r="B58" s="9" t="s">
        <v>120</v>
      </c>
      <c r="C58" s="7" t="s">
        <v>43</v>
      </c>
      <c r="D58" s="7" t="s">
        <v>121</v>
      </c>
      <c r="E58" s="7" t="s">
        <v>122</v>
      </c>
      <c r="F58" s="8" t="s">
        <v>90</v>
      </c>
      <c r="G58" s="9">
        <v>6</v>
      </c>
      <c r="H58" s="10">
        <v>110.54</v>
      </c>
      <c r="I58" s="10">
        <v>135.72</v>
      </c>
      <c r="J58" s="10">
        <v>269.88</v>
      </c>
      <c r="K58" s="10">
        <v>33.14</v>
      </c>
      <c r="L58" s="10">
        <f>814.32</f>
        <v>814.32</v>
      </c>
      <c r="M58" s="11">
        <v>3.783600467179315E-3</v>
      </c>
    </row>
    <row r="59" spans="1:13" ht="24" customHeight="1" x14ac:dyDescent="0.2">
      <c r="A59" s="7" t="s">
        <v>197</v>
      </c>
      <c r="B59" s="9" t="s">
        <v>124</v>
      </c>
      <c r="C59" s="7" t="s">
        <v>43</v>
      </c>
      <c r="D59" s="7" t="s">
        <v>125</v>
      </c>
      <c r="E59" s="7" t="s">
        <v>122</v>
      </c>
      <c r="F59" s="8" t="s">
        <v>90</v>
      </c>
      <c r="G59" s="9">
        <v>3</v>
      </c>
      <c r="H59" s="10">
        <v>146.15</v>
      </c>
      <c r="I59" s="10">
        <v>179.44</v>
      </c>
      <c r="J59" s="10">
        <v>134.94</v>
      </c>
      <c r="K59" s="10">
        <v>25.07</v>
      </c>
      <c r="L59" s="10">
        <f>538.32</f>
        <v>538.32000000000005</v>
      </c>
      <c r="M59" s="11">
        <v>2.5012130409322732E-3</v>
      </c>
    </row>
    <row r="60" spans="1:13" ht="24" customHeight="1" x14ac:dyDescent="0.2">
      <c r="A60" s="7" t="s">
        <v>198</v>
      </c>
      <c r="B60" s="9" t="s">
        <v>127</v>
      </c>
      <c r="C60" s="7" t="s">
        <v>43</v>
      </c>
      <c r="D60" s="7" t="s">
        <v>128</v>
      </c>
      <c r="E60" s="7" t="s">
        <v>122</v>
      </c>
      <c r="F60" s="8" t="s">
        <v>90</v>
      </c>
      <c r="G60" s="9">
        <v>4</v>
      </c>
      <c r="H60" s="10">
        <v>486.7</v>
      </c>
      <c r="I60" s="10">
        <v>597.57000000000005</v>
      </c>
      <c r="J60" s="10">
        <v>359.84</v>
      </c>
      <c r="K60" s="10">
        <v>15.05</v>
      </c>
      <c r="L60" s="10">
        <f>2390.28</f>
        <v>2390.2800000000002</v>
      </c>
      <c r="M60" s="11">
        <v>1.1106032671049922E-2</v>
      </c>
    </row>
    <row r="61" spans="1:13" ht="24" customHeight="1" x14ac:dyDescent="0.2">
      <c r="A61" s="7" t="s">
        <v>199</v>
      </c>
      <c r="B61" s="9" t="s">
        <v>130</v>
      </c>
      <c r="C61" s="7" t="s">
        <v>43</v>
      </c>
      <c r="D61" s="7" t="s">
        <v>131</v>
      </c>
      <c r="E61" s="7" t="s">
        <v>122</v>
      </c>
      <c r="F61" s="8" t="s">
        <v>90</v>
      </c>
      <c r="G61" s="9">
        <v>2</v>
      </c>
      <c r="H61" s="10">
        <v>384.91</v>
      </c>
      <c r="I61" s="10">
        <v>472.59</v>
      </c>
      <c r="J61" s="10">
        <v>179.92</v>
      </c>
      <c r="K61" s="10">
        <v>19.04</v>
      </c>
      <c r="L61" s="10">
        <f>945.18</f>
        <v>945.18</v>
      </c>
      <c r="M61" s="11">
        <v>4.3916193751455754E-3</v>
      </c>
    </row>
    <row r="62" spans="1:13" ht="24" customHeight="1" x14ac:dyDescent="0.2">
      <c r="A62" s="7" t="s">
        <v>200</v>
      </c>
      <c r="B62" s="9" t="s">
        <v>136</v>
      </c>
      <c r="C62" s="7" t="s">
        <v>43</v>
      </c>
      <c r="D62" s="7" t="s">
        <v>137</v>
      </c>
      <c r="E62" s="7" t="s">
        <v>122</v>
      </c>
      <c r="F62" s="8" t="s">
        <v>90</v>
      </c>
      <c r="G62" s="9">
        <v>1</v>
      </c>
      <c r="H62" s="10">
        <v>1609.16</v>
      </c>
      <c r="I62" s="10">
        <v>1975.72</v>
      </c>
      <c r="J62" s="10">
        <v>89.96</v>
      </c>
      <c r="K62" s="10">
        <v>4.55</v>
      </c>
      <c r="L62" s="10">
        <f>1975.72</f>
        <v>1975.72</v>
      </c>
      <c r="M62" s="11">
        <v>9.1798495861768296E-3</v>
      </c>
    </row>
    <row r="63" spans="1:13" ht="24" customHeight="1" x14ac:dyDescent="0.2">
      <c r="A63" s="7" t="s">
        <v>201</v>
      </c>
      <c r="B63" s="9" t="s">
        <v>139</v>
      </c>
      <c r="C63" s="7" t="s">
        <v>43</v>
      </c>
      <c r="D63" s="7" t="s">
        <v>140</v>
      </c>
      <c r="E63" s="7" t="s">
        <v>122</v>
      </c>
      <c r="F63" s="8" t="s">
        <v>90</v>
      </c>
      <c r="G63" s="9">
        <v>4</v>
      </c>
      <c r="H63" s="10">
        <v>65.58</v>
      </c>
      <c r="I63" s="10">
        <v>80.510000000000005</v>
      </c>
      <c r="J63" s="10">
        <v>53.92</v>
      </c>
      <c r="K63" s="10">
        <v>16.739999999999998</v>
      </c>
      <c r="L63" s="10">
        <f>322.04</f>
        <v>322.04000000000002</v>
      </c>
      <c r="M63" s="11">
        <v>1.4963045172050626E-3</v>
      </c>
    </row>
    <row r="64" spans="1:13" ht="24" customHeight="1" x14ac:dyDescent="0.2">
      <c r="A64" s="12" t="s">
        <v>202</v>
      </c>
      <c r="B64" s="14" t="s">
        <v>142</v>
      </c>
      <c r="C64" s="12" t="s">
        <v>27</v>
      </c>
      <c r="D64" s="12" t="s">
        <v>143</v>
      </c>
      <c r="E64" s="12" t="s">
        <v>63</v>
      </c>
      <c r="F64" s="13" t="s">
        <v>73</v>
      </c>
      <c r="G64" s="14">
        <v>2</v>
      </c>
      <c r="H64" s="15">
        <v>23.4</v>
      </c>
      <c r="I64" s="15">
        <v>28.73</v>
      </c>
      <c r="J64" s="15">
        <v>0</v>
      </c>
      <c r="K64" s="15">
        <v>0</v>
      </c>
      <c r="L64" s="15">
        <f>57.46</f>
        <v>57.46</v>
      </c>
      <c r="M64" s="16">
        <v>2.6697819388461959E-4</v>
      </c>
    </row>
    <row r="65" spans="1:13" ht="24" customHeight="1" x14ac:dyDescent="0.2">
      <c r="A65" s="12" t="s">
        <v>203</v>
      </c>
      <c r="B65" s="14" t="s">
        <v>145</v>
      </c>
      <c r="C65" s="12" t="s">
        <v>43</v>
      </c>
      <c r="D65" s="12" t="s">
        <v>204</v>
      </c>
      <c r="E65" s="12" t="s">
        <v>50</v>
      </c>
      <c r="F65" s="13" t="s">
        <v>147</v>
      </c>
      <c r="G65" s="14">
        <v>1</v>
      </c>
      <c r="H65" s="15">
        <v>27.28</v>
      </c>
      <c r="I65" s="15">
        <v>33.49</v>
      </c>
      <c r="J65" s="15">
        <v>0</v>
      </c>
      <c r="K65" s="15">
        <v>0</v>
      </c>
      <c r="L65" s="15">
        <f>33.49</f>
        <v>33.49</v>
      </c>
      <c r="M65" s="16">
        <v>1.5560563371381676E-4</v>
      </c>
    </row>
    <row r="66" spans="1:13" ht="24" customHeight="1" x14ac:dyDescent="0.2">
      <c r="A66" s="7" t="s">
        <v>205</v>
      </c>
      <c r="B66" s="9" t="s">
        <v>149</v>
      </c>
      <c r="C66" s="7" t="s">
        <v>43</v>
      </c>
      <c r="D66" s="7" t="s">
        <v>150</v>
      </c>
      <c r="E66" s="7" t="s">
        <v>111</v>
      </c>
      <c r="F66" s="8" t="s">
        <v>56</v>
      </c>
      <c r="G66" s="9">
        <v>0.25</v>
      </c>
      <c r="H66" s="10">
        <v>1411.22</v>
      </c>
      <c r="I66" s="10">
        <v>1732.69</v>
      </c>
      <c r="J66" s="10">
        <v>0</v>
      </c>
      <c r="K66" s="10">
        <v>0</v>
      </c>
      <c r="L66" s="10">
        <f>433.17</f>
        <v>433.17</v>
      </c>
      <c r="M66" s="11">
        <v>2.0126513095196775E-3</v>
      </c>
    </row>
    <row r="67" spans="1:13" ht="24" customHeight="1" x14ac:dyDescent="0.2">
      <c r="A67" s="12" t="s">
        <v>206</v>
      </c>
      <c r="B67" s="14" t="s">
        <v>152</v>
      </c>
      <c r="C67" s="12" t="s">
        <v>43</v>
      </c>
      <c r="D67" s="12" t="s">
        <v>207</v>
      </c>
      <c r="E67" s="12" t="s">
        <v>50</v>
      </c>
      <c r="F67" s="13" t="s">
        <v>90</v>
      </c>
      <c r="G67" s="14">
        <v>8</v>
      </c>
      <c r="H67" s="15">
        <v>21</v>
      </c>
      <c r="I67" s="15">
        <v>25.78</v>
      </c>
      <c r="J67" s="15">
        <v>0</v>
      </c>
      <c r="K67" s="15">
        <v>0</v>
      </c>
      <c r="L67" s="15">
        <f>206.24</f>
        <v>206.24</v>
      </c>
      <c r="M67" s="16">
        <v>9.5825935793184729E-4</v>
      </c>
    </row>
    <row r="68" spans="1:13" ht="24" customHeight="1" x14ac:dyDescent="0.2">
      <c r="A68" s="12" t="s">
        <v>208</v>
      </c>
      <c r="B68" s="14" t="s">
        <v>155</v>
      </c>
      <c r="C68" s="12" t="s">
        <v>43</v>
      </c>
      <c r="D68" s="12" t="s">
        <v>156</v>
      </c>
      <c r="E68" s="12" t="s">
        <v>50</v>
      </c>
      <c r="F68" s="13" t="s">
        <v>90</v>
      </c>
      <c r="G68" s="14">
        <v>16</v>
      </c>
      <c r="H68" s="15">
        <v>0.42</v>
      </c>
      <c r="I68" s="15">
        <v>0.51</v>
      </c>
      <c r="J68" s="15">
        <v>0</v>
      </c>
      <c r="K68" s="15">
        <v>0</v>
      </c>
      <c r="L68" s="15">
        <f>8.16</f>
        <v>8.16</v>
      </c>
      <c r="M68" s="16">
        <v>3.7914063036869056E-5</v>
      </c>
    </row>
    <row r="69" spans="1:13" ht="24" customHeight="1" x14ac:dyDescent="0.2">
      <c r="A69" s="7" t="s">
        <v>209</v>
      </c>
      <c r="B69" s="9" t="s">
        <v>158</v>
      </c>
      <c r="C69" s="7" t="s">
        <v>43</v>
      </c>
      <c r="D69" s="7" t="s">
        <v>159</v>
      </c>
      <c r="E69" s="7" t="s">
        <v>160</v>
      </c>
      <c r="F69" s="8" t="s">
        <v>90</v>
      </c>
      <c r="G69" s="9">
        <v>16</v>
      </c>
      <c r="H69" s="10">
        <v>0.45</v>
      </c>
      <c r="I69" s="10">
        <v>0.55000000000000004</v>
      </c>
      <c r="J69" s="10">
        <v>6.88</v>
      </c>
      <c r="K69" s="10">
        <v>78.180000000000007</v>
      </c>
      <c r="L69" s="10">
        <f>8.8</f>
        <v>8.8000000000000007</v>
      </c>
      <c r="M69" s="11">
        <v>4.0887715039760749E-5</v>
      </c>
    </row>
    <row r="70" spans="1:13" ht="24" customHeight="1" x14ac:dyDescent="0.2">
      <c r="A70" s="7" t="s">
        <v>210</v>
      </c>
      <c r="B70" s="9" t="s">
        <v>162</v>
      </c>
      <c r="C70" s="7" t="s">
        <v>43</v>
      </c>
      <c r="D70" s="7" t="s">
        <v>163</v>
      </c>
      <c r="E70" s="7" t="s">
        <v>164</v>
      </c>
      <c r="F70" s="8" t="s">
        <v>90</v>
      </c>
      <c r="G70" s="9">
        <v>1</v>
      </c>
      <c r="H70" s="10">
        <v>156.16999999999999</v>
      </c>
      <c r="I70" s="10">
        <v>191.74</v>
      </c>
      <c r="J70" s="10">
        <v>22.49</v>
      </c>
      <c r="K70" s="10">
        <v>11.73</v>
      </c>
      <c r="L70" s="10">
        <f>191.74</f>
        <v>191.74</v>
      </c>
      <c r="M70" s="11">
        <v>8.9088755474133244E-4</v>
      </c>
    </row>
    <row r="71" spans="1:13" ht="24" customHeight="1" x14ac:dyDescent="0.2">
      <c r="A71" s="12" t="s">
        <v>211</v>
      </c>
      <c r="B71" s="14" t="s">
        <v>166</v>
      </c>
      <c r="C71" s="12" t="s">
        <v>43</v>
      </c>
      <c r="D71" s="12" t="s">
        <v>167</v>
      </c>
      <c r="E71" s="12" t="s">
        <v>50</v>
      </c>
      <c r="F71" s="13" t="s">
        <v>90</v>
      </c>
      <c r="G71" s="14">
        <v>1</v>
      </c>
      <c r="H71" s="15">
        <v>185.99</v>
      </c>
      <c r="I71" s="15">
        <v>228.35</v>
      </c>
      <c r="J71" s="15">
        <v>0</v>
      </c>
      <c r="K71" s="15">
        <v>0</v>
      </c>
      <c r="L71" s="15">
        <f>228.35</f>
        <v>228.35</v>
      </c>
      <c r="M71" s="16">
        <v>1.0609897419692463E-3</v>
      </c>
    </row>
    <row r="72" spans="1:13" ht="24" customHeight="1" x14ac:dyDescent="0.2">
      <c r="A72" s="12" t="s">
        <v>212</v>
      </c>
      <c r="B72" s="14" t="s">
        <v>169</v>
      </c>
      <c r="C72" s="12" t="s">
        <v>43</v>
      </c>
      <c r="D72" s="12" t="s">
        <v>170</v>
      </c>
      <c r="E72" s="12" t="s">
        <v>50</v>
      </c>
      <c r="F72" s="13" t="s">
        <v>90</v>
      </c>
      <c r="G72" s="14">
        <v>1</v>
      </c>
      <c r="H72" s="15">
        <v>141.5</v>
      </c>
      <c r="I72" s="15">
        <v>173.73</v>
      </c>
      <c r="J72" s="15">
        <v>0</v>
      </c>
      <c r="K72" s="15">
        <v>0</v>
      </c>
      <c r="L72" s="15">
        <f>173.73</f>
        <v>173.73</v>
      </c>
      <c r="M72" s="16">
        <v>8.0720712884745853E-4</v>
      </c>
    </row>
    <row r="73" spans="1:13" ht="24" customHeight="1" x14ac:dyDescent="0.2">
      <c r="A73" s="12" t="s">
        <v>213</v>
      </c>
      <c r="B73" s="14" t="s">
        <v>172</v>
      </c>
      <c r="C73" s="12" t="s">
        <v>43</v>
      </c>
      <c r="D73" s="12" t="s">
        <v>173</v>
      </c>
      <c r="E73" s="12" t="s">
        <v>50</v>
      </c>
      <c r="F73" s="13" t="s">
        <v>90</v>
      </c>
      <c r="G73" s="14">
        <v>1</v>
      </c>
      <c r="H73" s="15">
        <v>173.36</v>
      </c>
      <c r="I73" s="15">
        <v>212.85</v>
      </c>
      <c r="J73" s="15">
        <v>0</v>
      </c>
      <c r="K73" s="15">
        <v>0</v>
      </c>
      <c r="L73" s="15">
        <f>212.85</f>
        <v>212.85</v>
      </c>
      <c r="M73" s="16">
        <v>9.8897160752421318E-4</v>
      </c>
    </row>
    <row r="74" spans="1:13" ht="24" customHeight="1" x14ac:dyDescent="0.2">
      <c r="A74" s="12" t="s">
        <v>214</v>
      </c>
      <c r="B74" s="14" t="s">
        <v>175</v>
      </c>
      <c r="C74" s="12" t="s">
        <v>43</v>
      </c>
      <c r="D74" s="12" t="s">
        <v>176</v>
      </c>
      <c r="E74" s="12" t="s">
        <v>50</v>
      </c>
      <c r="F74" s="13" t="s">
        <v>90</v>
      </c>
      <c r="G74" s="14">
        <v>1</v>
      </c>
      <c r="H74" s="15">
        <v>120.3</v>
      </c>
      <c r="I74" s="15">
        <v>147.69999999999999</v>
      </c>
      <c r="J74" s="15">
        <v>0</v>
      </c>
      <c r="K74" s="15">
        <v>0</v>
      </c>
      <c r="L74" s="15">
        <f>147.7</f>
        <v>147.69999999999999</v>
      </c>
      <c r="M74" s="16">
        <v>6.86263126292348E-4</v>
      </c>
    </row>
    <row r="75" spans="1:13" ht="24" customHeight="1" x14ac:dyDescent="0.2">
      <c r="A75" s="12" t="s">
        <v>215</v>
      </c>
      <c r="B75" s="14" t="s">
        <v>178</v>
      </c>
      <c r="C75" s="12" t="s">
        <v>33</v>
      </c>
      <c r="D75" s="12" t="s">
        <v>216</v>
      </c>
      <c r="E75" s="12" t="s">
        <v>50</v>
      </c>
      <c r="F75" s="13" t="s">
        <v>94</v>
      </c>
      <c r="G75" s="14">
        <v>6</v>
      </c>
      <c r="H75" s="15">
        <v>3.95</v>
      </c>
      <c r="I75" s="15">
        <v>4.84</v>
      </c>
      <c r="J75" s="15">
        <v>0</v>
      </c>
      <c r="K75" s="15">
        <v>0</v>
      </c>
      <c r="L75" s="15">
        <f>29.04</f>
        <v>29.04</v>
      </c>
      <c r="M75" s="16">
        <v>1.3492945963121047E-4</v>
      </c>
    </row>
    <row r="76" spans="1:13" ht="24" customHeight="1" x14ac:dyDescent="0.2">
      <c r="A76" s="12" t="s">
        <v>217</v>
      </c>
      <c r="B76" s="14" t="s">
        <v>181</v>
      </c>
      <c r="C76" s="12" t="s">
        <v>33</v>
      </c>
      <c r="D76" s="12" t="s">
        <v>182</v>
      </c>
      <c r="E76" s="12" t="s">
        <v>50</v>
      </c>
      <c r="F76" s="13" t="s">
        <v>94</v>
      </c>
      <c r="G76" s="14">
        <v>6</v>
      </c>
      <c r="H76" s="15">
        <v>3.88</v>
      </c>
      <c r="I76" s="15">
        <v>4.76</v>
      </c>
      <c r="J76" s="15">
        <v>0</v>
      </c>
      <c r="K76" s="15">
        <v>0</v>
      </c>
      <c r="L76" s="15">
        <f>28.56</f>
        <v>28.56</v>
      </c>
      <c r="M76" s="16">
        <v>1.3269922062904169E-4</v>
      </c>
    </row>
    <row r="77" spans="1:13" ht="24" customHeight="1" x14ac:dyDescent="0.2">
      <c r="A77" s="12" t="s">
        <v>218</v>
      </c>
      <c r="B77" s="14" t="s">
        <v>184</v>
      </c>
      <c r="C77" s="12" t="s">
        <v>33</v>
      </c>
      <c r="D77" s="12" t="s">
        <v>185</v>
      </c>
      <c r="E77" s="12" t="s">
        <v>50</v>
      </c>
      <c r="F77" s="13" t="s">
        <v>94</v>
      </c>
      <c r="G77" s="14">
        <v>6</v>
      </c>
      <c r="H77" s="15">
        <v>6.86</v>
      </c>
      <c r="I77" s="15">
        <v>8.42</v>
      </c>
      <c r="J77" s="15">
        <v>0</v>
      </c>
      <c r="K77" s="15">
        <v>0</v>
      </c>
      <c r="L77" s="15">
        <f>50.52</f>
        <v>50.52</v>
      </c>
      <c r="M77" s="16">
        <v>2.3473265497826284E-4</v>
      </c>
    </row>
    <row r="78" spans="1:13" ht="24" customHeight="1" x14ac:dyDescent="0.2">
      <c r="A78" s="12" t="s">
        <v>219</v>
      </c>
      <c r="B78" s="14" t="s">
        <v>187</v>
      </c>
      <c r="C78" s="12" t="s">
        <v>33</v>
      </c>
      <c r="D78" s="12" t="s">
        <v>188</v>
      </c>
      <c r="E78" s="12" t="s">
        <v>50</v>
      </c>
      <c r="F78" s="13" t="s">
        <v>94</v>
      </c>
      <c r="G78" s="14">
        <v>3</v>
      </c>
      <c r="H78" s="15">
        <v>27.17</v>
      </c>
      <c r="I78" s="15">
        <v>33.35</v>
      </c>
      <c r="J78" s="15">
        <v>0</v>
      </c>
      <c r="K78" s="15">
        <v>0</v>
      </c>
      <c r="L78" s="15">
        <f>100.05</f>
        <v>100.05</v>
      </c>
      <c r="M78" s="16">
        <v>4.6486544201455258E-4</v>
      </c>
    </row>
    <row r="79" spans="1:13" ht="24" customHeight="1" x14ac:dyDescent="0.2">
      <c r="A79" s="3" t="s">
        <v>220</v>
      </c>
      <c r="B79" s="3"/>
      <c r="C79" s="3"/>
      <c r="D79" s="3" t="s">
        <v>221</v>
      </c>
      <c r="E79" s="3"/>
      <c r="F79" s="3"/>
      <c r="G79" s="4"/>
      <c r="H79" s="3"/>
      <c r="I79" s="3"/>
      <c r="J79" s="3"/>
      <c r="K79" s="3"/>
      <c r="L79" s="5">
        <v>12295.72</v>
      </c>
      <c r="M79" s="6">
        <v>5.7129988132805343E-2</v>
      </c>
    </row>
    <row r="80" spans="1:13" ht="24" customHeight="1" x14ac:dyDescent="0.2">
      <c r="A80" s="12" t="s">
        <v>222</v>
      </c>
      <c r="B80" s="14" t="s">
        <v>105</v>
      </c>
      <c r="C80" s="12" t="s">
        <v>33</v>
      </c>
      <c r="D80" s="12" t="s">
        <v>223</v>
      </c>
      <c r="E80" s="12" t="s">
        <v>50</v>
      </c>
      <c r="F80" s="13" t="s">
        <v>107</v>
      </c>
      <c r="G80" s="14">
        <v>1</v>
      </c>
      <c r="H80" s="15">
        <v>110.43</v>
      </c>
      <c r="I80" s="15">
        <v>135.58000000000001</v>
      </c>
      <c r="J80" s="15">
        <v>0</v>
      </c>
      <c r="K80" s="15">
        <v>0</v>
      </c>
      <c r="L80" s="15">
        <f>135.58</f>
        <v>135.58000000000001</v>
      </c>
      <c r="M80" s="16">
        <v>6.2994959148758665E-4</v>
      </c>
    </row>
    <row r="81" spans="1:13" ht="48" customHeight="1" x14ac:dyDescent="0.2">
      <c r="A81" s="7" t="s">
        <v>224</v>
      </c>
      <c r="B81" s="9" t="s">
        <v>109</v>
      </c>
      <c r="C81" s="7" t="s">
        <v>43</v>
      </c>
      <c r="D81" s="7" t="s">
        <v>193</v>
      </c>
      <c r="E81" s="7" t="s">
        <v>111</v>
      </c>
      <c r="F81" s="8" t="s">
        <v>90</v>
      </c>
      <c r="G81" s="9">
        <v>1</v>
      </c>
      <c r="H81" s="10">
        <v>2893.99</v>
      </c>
      <c r="I81" s="10">
        <v>3553.24</v>
      </c>
      <c r="J81" s="10">
        <v>359.84</v>
      </c>
      <c r="K81" s="10">
        <v>10.130000000000001</v>
      </c>
      <c r="L81" s="10">
        <f>3553.24</f>
        <v>3553.24</v>
      </c>
      <c r="M81" s="11">
        <v>1.6509530066804487E-2</v>
      </c>
    </row>
    <row r="82" spans="1:13" ht="24" customHeight="1" x14ac:dyDescent="0.2">
      <c r="A82" s="7" t="s">
        <v>225</v>
      </c>
      <c r="B82" s="9" t="s">
        <v>113</v>
      </c>
      <c r="C82" s="7" t="s">
        <v>33</v>
      </c>
      <c r="D82" s="7" t="s">
        <v>114</v>
      </c>
      <c r="E82" s="7" t="s">
        <v>115</v>
      </c>
      <c r="F82" s="8" t="s">
        <v>94</v>
      </c>
      <c r="G82" s="9">
        <v>4</v>
      </c>
      <c r="H82" s="10">
        <v>79.430000000000007</v>
      </c>
      <c r="I82" s="10">
        <v>97.52</v>
      </c>
      <c r="J82" s="10">
        <v>73.959999999999994</v>
      </c>
      <c r="K82" s="10">
        <v>18.96</v>
      </c>
      <c r="L82" s="10">
        <f>390.08</f>
        <v>390.08</v>
      </c>
      <c r="M82" s="11">
        <v>1.8124408957624855E-3</v>
      </c>
    </row>
    <row r="83" spans="1:13" ht="24" customHeight="1" x14ac:dyDescent="0.2">
      <c r="A83" s="7" t="s">
        <v>226</v>
      </c>
      <c r="B83" s="9" t="s">
        <v>117</v>
      </c>
      <c r="C83" s="7" t="s">
        <v>33</v>
      </c>
      <c r="D83" s="7" t="s">
        <v>118</v>
      </c>
      <c r="E83" s="7" t="s">
        <v>115</v>
      </c>
      <c r="F83" s="8" t="s">
        <v>94</v>
      </c>
      <c r="G83" s="9">
        <v>3</v>
      </c>
      <c r="H83" s="10">
        <v>88.43</v>
      </c>
      <c r="I83" s="10">
        <v>108.57</v>
      </c>
      <c r="J83" s="10">
        <v>77.61</v>
      </c>
      <c r="K83" s="10">
        <v>23.83</v>
      </c>
      <c r="L83" s="10">
        <f>325.71</f>
        <v>325.70999999999998</v>
      </c>
      <c r="M83" s="11">
        <v>1.5133565529091447E-3</v>
      </c>
    </row>
    <row r="84" spans="1:13" ht="24" customHeight="1" x14ac:dyDescent="0.2">
      <c r="A84" s="7" t="s">
        <v>227</v>
      </c>
      <c r="B84" s="9" t="s">
        <v>120</v>
      </c>
      <c r="C84" s="7" t="s">
        <v>43</v>
      </c>
      <c r="D84" s="7" t="s">
        <v>121</v>
      </c>
      <c r="E84" s="7" t="s">
        <v>122</v>
      </c>
      <c r="F84" s="8" t="s">
        <v>90</v>
      </c>
      <c r="G84" s="9">
        <v>4</v>
      </c>
      <c r="H84" s="10">
        <v>110.54</v>
      </c>
      <c r="I84" s="10">
        <v>135.72</v>
      </c>
      <c r="J84" s="10">
        <v>179.92</v>
      </c>
      <c r="K84" s="10">
        <v>33.14</v>
      </c>
      <c r="L84" s="10">
        <f>542.88</f>
        <v>542.88</v>
      </c>
      <c r="M84" s="11">
        <v>2.5224003114528767E-3</v>
      </c>
    </row>
    <row r="85" spans="1:13" ht="24" customHeight="1" x14ac:dyDescent="0.2">
      <c r="A85" s="7" t="s">
        <v>228</v>
      </c>
      <c r="B85" s="9" t="s">
        <v>124</v>
      </c>
      <c r="C85" s="7" t="s">
        <v>43</v>
      </c>
      <c r="D85" s="7" t="s">
        <v>125</v>
      </c>
      <c r="E85" s="7" t="s">
        <v>122</v>
      </c>
      <c r="F85" s="8" t="s">
        <v>90</v>
      </c>
      <c r="G85" s="9">
        <v>3</v>
      </c>
      <c r="H85" s="10">
        <v>146.15</v>
      </c>
      <c r="I85" s="10">
        <v>179.44</v>
      </c>
      <c r="J85" s="10">
        <v>134.94</v>
      </c>
      <c r="K85" s="10">
        <v>25.07</v>
      </c>
      <c r="L85" s="10">
        <f>538.32</f>
        <v>538.32000000000005</v>
      </c>
      <c r="M85" s="11">
        <v>2.5012130409322732E-3</v>
      </c>
    </row>
    <row r="86" spans="1:13" ht="24" customHeight="1" x14ac:dyDescent="0.2">
      <c r="A86" s="7" t="s">
        <v>229</v>
      </c>
      <c r="B86" s="9" t="s">
        <v>127</v>
      </c>
      <c r="C86" s="7" t="s">
        <v>43</v>
      </c>
      <c r="D86" s="7" t="s">
        <v>128</v>
      </c>
      <c r="E86" s="7" t="s">
        <v>122</v>
      </c>
      <c r="F86" s="8" t="s">
        <v>90</v>
      </c>
      <c r="G86" s="9">
        <v>3</v>
      </c>
      <c r="H86" s="10">
        <v>486.7</v>
      </c>
      <c r="I86" s="10">
        <v>597.57000000000005</v>
      </c>
      <c r="J86" s="10">
        <v>269.88</v>
      </c>
      <c r="K86" s="10">
        <v>15.05</v>
      </c>
      <c r="L86" s="10">
        <f>1792.71</f>
        <v>1792.71</v>
      </c>
      <c r="M86" s="11">
        <v>8.3295245032874426E-3</v>
      </c>
    </row>
    <row r="87" spans="1:13" ht="24" customHeight="1" x14ac:dyDescent="0.2">
      <c r="A87" s="7" t="s">
        <v>230</v>
      </c>
      <c r="B87" s="9" t="s">
        <v>130</v>
      </c>
      <c r="C87" s="7" t="s">
        <v>43</v>
      </c>
      <c r="D87" s="7" t="s">
        <v>131</v>
      </c>
      <c r="E87" s="7" t="s">
        <v>122</v>
      </c>
      <c r="F87" s="8" t="s">
        <v>90</v>
      </c>
      <c r="G87" s="9">
        <v>2</v>
      </c>
      <c r="H87" s="10">
        <v>384.91</v>
      </c>
      <c r="I87" s="10">
        <v>472.59</v>
      </c>
      <c r="J87" s="10">
        <v>179.92</v>
      </c>
      <c r="K87" s="10">
        <v>19.04</v>
      </c>
      <c r="L87" s="10">
        <f>945.18</f>
        <v>945.18</v>
      </c>
      <c r="M87" s="11">
        <v>4.3916193751455754E-3</v>
      </c>
    </row>
    <row r="88" spans="1:13" ht="24" customHeight="1" x14ac:dyDescent="0.2">
      <c r="A88" s="7" t="s">
        <v>231</v>
      </c>
      <c r="B88" s="9" t="s">
        <v>133</v>
      </c>
      <c r="C88" s="7" t="s">
        <v>43</v>
      </c>
      <c r="D88" s="7" t="s">
        <v>134</v>
      </c>
      <c r="E88" s="7" t="s">
        <v>122</v>
      </c>
      <c r="F88" s="8" t="s">
        <v>90</v>
      </c>
      <c r="G88" s="9">
        <v>1</v>
      </c>
      <c r="H88" s="10">
        <v>1186.3900000000001</v>
      </c>
      <c r="I88" s="10">
        <v>1456.64</v>
      </c>
      <c r="J88" s="10">
        <v>26.97</v>
      </c>
      <c r="K88" s="10">
        <v>1.85</v>
      </c>
      <c r="L88" s="10">
        <f>1456.64</f>
        <v>1456.64</v>
      </c>
      <c r="M88" s="11">
        <v>6.7680319585814884E-3</v>
      </c>
    </row>
    <row r="89" spans="1:13" ht="24" customHeight="1" x14ac:dyDescent="0.2">
      <c r="A89" s="7" t="s">
        <v>232</v>
      </c>
      <c r="B89" s="9" t="s">
        <v>139</v>
      </c>
      <c r="C89" s="7" t="s">
        <v>43</v>
      </c>
      <c r="D89" s="7" t="s">
        <v>140</v>
      </c>
      <c r="E89" s="7" t="s">
        <v>122</v>
      </c>
      <c r="F89" s="8" t="s">
        <v>90</v>
      </c>
      <c r="G89" s="9">
        <v>4</v>
      </c>
      <c r="H89" s="10">
        <v>65.58</v>
      </c>
      <c r="I89" s="10">
        <v>80.510000000000005</v>
      </c>
      <c r="J89" s="10">
        <v>53.92</v>
      </c>
      <c r="K89" s="10">
        <v>16.739999999999998</v>
      </c>
      <c r="L89" s="10">
        <f>322.04</f>
        <v>322.04000000000002</v>
      </c>
      <c r="M89" s="11">
        <v>1.4963045172050626E-3</v>
      </c>
    </row>
    <row r="90" spans="1:13" ht="24" customHeight="1" x14ac:dyDescent="0.2">
      <c r="A90" s="12" t="s">
        <v>233</v>
      </c>
      <c r="B90" s="14" t="s">
        <v>142</v>
      </c>
      <c r="C90" s="12" t="s">
        <v>27</v>
      </c>
      <c r="D90" s="12" t="s">
        <v>143</v>
      </c>
      <c r="E90" s="12" t="s">
        <v>63</v>
      </c>
      <c r="F90" s="13" t="s">
        <v>73</v>
      </c>
      <c r="G90" s="14">
        <v>2</v>
      </c>
      <c r="H90" s="15">
        <v>23.4</v>
      </c>
      <c r="I90" s="15">
        <v>28.73</v>
      </c>
      <c r="J90" s="15">
        <v>0</v>
      </c>
      <c r="K90" s="15">
        <v>0</v>
      </c>
      <c r="L90" s="15">
        <f>57.46</f>
        <v>57.46</v>
      </c>
      <c r="M90" s="16">
        <v>2.6697819388461959E-4</v>
      </c>
    </row>
    <row r="91" spans="1:13" ht="24" customHeight="1" x14ac:dyDescent="0.2">
      <c r="A91" s="12" t="s">
        <v>234</v>
      </c>
      <c r="B91" s="14" t="s">
        <v>145</v>
      </c>
      <c r="C91" s="12" t="s">
        <v>43</v>
      </c>
      <c r="D91" s="12" t="s">
        <v>235</v>
      </c>
      <c r="E91" s="12" t="s">
        <v>50</v>
      </c>
      <c r="F91" s="13" t="s">
        <v>147</v>
      </c>
      <c r="G91" s="14">
        <v>1</v>
      </c>
      <c r="H91" s="15">
        <v>27.28</v>
      </c>
      <c r="I91" s="15">
        <v>33.49</v>
      </c>
      <c r="J91" s="15">
        <v>0</v>
      </c>
      <c r="K91" s="15">
        <v>0</v>
      </c>
      <c r="L91" s="15">
        <f>33.49</f>
        <v>33.49</v>
      </c>
      <c r="M91" s="16">
        <v>1.5560563371381676E-4</v>
      </c>
    </row>
    <row r="92" spans="1:13" ht="24" customHeight="1" x14ac:dyDescent="0.2">
      <c r="A92" s="7" t="s">
        <v>236</v>
      </c>
      <c r="B92" s="9" t="s">
        <v>149</v>
      </c>
      <c r="C92" s="7" t="s">
        <v>43</v>
      </c>
      <c r="D92" s="7" t="s">
        <v>237</v>
      </c>
      <c r="E92" s="7" t="s">
        <v>111</v>
      </c>
      <c r="F92" s="8" t="s">
        <v>56</v>
      </c>
      <c r="G92" s="9">
        <v>0.25</v>
      </c>
      <c r="H92" s="10">
        <v>1411.22</v>
      </c>
      <c r="I92" s="10">
        <v>1732.69</v>
      </c>
      <c r="J92" s="10">
        <v>0</v>
      </c>
      <c r="K92" s="10">
        <v>0</v>
      </c>
      <c r="L92" s="10">
        <f>433.17</f>
        <v>433.17</v>
      </c>
      <c r="M92" s="11">
        <v>2.0126513095196775E-3</v>
      </c>
    </row>
    <row r="93" spans="1:13" ht="24" customHeight="1" x14ac:dyDescent="0.2">
      <c r="A93" s="12" t="s">
        <v>238</v>
      </c>
      <c r="B93" s="14" t="s">
        <v>152</v>
      </c>
      <c r="C93" s="12" t="s">
        <v>43</v>
      </c>
      <c r="D93" s="12" t="s">
        <v>153</v>
      </c>
      <c r="E93" s="12" t="s">
        <v>50</v>
      </c>
      <c r="F93" s="13" t="s">
        <v>90</v>
      </c>
      <c r="G93" s="14">
        <v>8</v>
      </c>
      <c r="H93" s="15">
        <v>21</v>
      </c>
      <c r="I93" s="15">
        <v>25.78</v>
      </c>
      <c r="J93" s="15">
        <v>0</v>
      </c>
      <c r="K93" s="15">
        <v>0</v>
      </c>
      <c r="L93" s="15">
        <f>206.24</f>
        <v>206.24</v>
      </c>
      <c r="M93" s="16">
        <v>9.5825935793184729E-4</v>
      </c>
    </row>
    <row r="94" spans="1:13" ht="24" customHeight="1" x14ac:dyDescent="0.2">
      <c r="A94" s="12" t="s">
        <v>239</v>
      </c>
      <c r="B94" s="14" t="s">
        <v>155</v>
      </c>
      <c r="C94" s="12" t="s">
        <v>43</v>
      </c>
      <c r="D94" s="12" t="s">
        <v>156</v>
      </c>
      <c r="E94" s="12" t="s">
        <v>50</v>
      </c>
      <c r="F94" s="13" t="s">
        <v>90</v>
      </c>
      <c r="G94" s="14">
        <v>16</v>
      </c>
      <c r="H94" s="15">
        <v>0.42</v>
      </c>
      <c r="I94" s="15">
        <v>0.51</v>
      </c>
      <c r="J94" s="15">
        <v>0</v>
      </c>
      <c r="K94" s="15">
        <v>0</v>
      </c>
      <c r="L94" s="15">
        <f>8.16</f>
        <v>8.16</v>
      </c>
      <c r="M94" s="16">
        <v>3.7914063036869056E-5</v>
      </c>
    </row>
    <row r="95" spans="1:13" ht="24" customHeight="1" x14ac:dyDescent="0.2">
      <c r="A95" s="7" t="s">
        <v>240</v>
      </c>
      <c r="B95" s="9" t="s">
        <v>158</v>
      </c>
      <c r="C95" s="7" t="s">
        <v>43</v>
      </c>
      <c r="D95" s="7" t="s">
        <v>159</v>
      </c>
      <c r="E95" s="7" t="s">
        <v>160</v>
      </c>
      <c r="F95" s="8" t="s">
        <v>90</v>
      </c>
      <c r="G95" s="9">
        <v>16</v>
      </c>
      <c r="H95" s="10">
        <v>0.45</v>
      </c>
      <c r="I95" s="10">
        <v>0.55000000000000004</v>
      </c>
      <c r="J95" s="10">
        <v>6.88</v>
      </c>
      <c r="K95" s="10">
        <v>78.180000000000007</v>
      </c>
      <c r="L95" s="10">
        <f>8.8</f>
        <v>8.8000000000000007</v>
      </c>
      <c r="M95" s="11">
        <v>4.0887715039760749E-5</v>
      </c>
    </row>
    <row r="96" spans="1:13" ht="24" customHeight="1" x14ac:dyDescent="0.2">
      <c r="A96" s="7" t="s">
        <v>241</v>
      </c>
      <c r="B96" s="9" t="s">
        <v>162</v>
      </c>
      <c r="C96" s="7" t="s">
        <v>43</v>
      </c>
      <c r="D96" s="7" t="s">
        <v>242</v>
      </c>
      <c r="E96" s="7" t="s">
        <v>164</v>
      </c>
      <c r="F96" s="8" t="s">
        <v>90</v>
      </c>
      <c r="G96" s="9">
        <v>3</v>
      </c>
      <c r="H96" s="10">
        <v>156.16999999999999</v>
      </c>
      <c r="I96" s="10">
        <v>191.74</v>
      </c>
      <c r="J96" s="10">
        <v>67.47</v>
      </c>
      <c r="K96" s="10">
        <v>11.73</v>
      </c>
      <c r="L96" s="10">
        <f>575.22</f>
        <v>575.22</v>
      </c>
      <c r="M96" s="11">
        <v>2.6726626642239975E-3</v>
      </c>
    </row>
    <row r="97" spans="1:13" ht="24" customHeight="1" x14ac:dyDescent="0.2">
      <c r="A97" s="12" t="s">
        <v>243</v>
      </c>
      <c r="B97" s="14" t="s">
        <v>166</v>
      </c>
      <c r="C97" s="12" t="s">
        <v>43</v>
      </c>
      <c r="D97" s="12" t="s">
        <v>244</v>
      </c>
      <c r="E97" s="12" t="s">
        <v>50</v>
      </c>
      <c r="F97" s="13" t="s">
        <v>90</v>
      </c>
      <c r="G97" s="14">
        <v>1</v>
      </c>
      <c r="H97" s="15">
        <v>185.99</v>
      </c>
      <c r="I97" s="15">
        <v>228.35</v>
      </c>
      <c r="J97" s="15">
        <v>0</v>
      </c>
      <c r="K97" s="15">
        <v>0</v>
      </c>
      <c r="L97" s="15">
        <f>228.35</f>
        <v>228.35</v>
      </c>
      <c r="M97" s="16">
        <v>1.0609897419692463E-3</v>
      </c>
    </row>
    <row r="98" spans="1:13" ht="24" customHeight="1" x14ac:dyDescent="0.2">
      <c r="A98" s="12" t="s">
        <v>245</v>
      </c>
      <c r="B98" s="14" t="s">
        <v>169</v>
      </c>
      <c r="C98" s="12" t="s">
        <v>43</v>
      </c>
      <c r="D98" s="12" t="s">
        <v>170</v>
      </c>
      <c r="E98" s="12" t="s">
        <v>50</v>
      </c>
      <c r="F98" s="13" t="s">
        <v>90</v>
      </c>
      <c r="G98" s="14">
        <v>1</v>
      </c>
      <c r="H98" s="15">
        <v>141.5</v>
      </c>
      <c r="I98" s="15">
        <v>173.73</v>
      </c>
      <c r="J98" s="15">
        <v>0</v>
      </c>
      <c r="K98" s="15">
        <v>0</v>
      </c>
      <c r="L98" s="15">
        <f>173.73</f>
        <v>173.73</v>
      </c>
      <c r="M98" s="16">
        <v>8.0720712884745853E-4</v>
      </c>
    </row>
    <row r="99" spans="1:13" ht="24" customHeight="1" x14ac:dyDescent="0.2">
      <c r="A99" s="12" t="s">
        <v>246</v>
      </c>
      <c r="B99" s="14" t="s">
        <v>172</v>
      </c>
      <c r="C99" s="12" t="s">
        <v>43</v>
      </c>
      <c r="D99" s="12" t="s">
        <v>173</v>
      </c>
      <c r="E99" s="12" t="s">
        <v>50</v>
      </c>
      <c r="F99" s="13" t="s">
        <v>90</v>
      </c>
      <c r="G99" s="14">
        <v>1</v>
      </c>
      <c r="H99" s="15">
        <v>173.36</v>
      </c>
      <c r="I99" s="15">
        <v>212.85</v>
      </c>
      <c r="J99" s="15">
        <v>0</v>
      </c>
      <c r="K99" s="15">
        <v>0</v>
      </c>
      <c r="L99" s="15">
        <f>212.85</f>
        <v>212.85</v>
      </c>
      <c r="M99" s="16">
        <v>9.8897160752421318E-4</v>
      </c>
    </row>
    <row r="100" spans="1:13" ht="24" customHeight="1" x14ac:dyDescent="0.2">
      <c r="A100" s="12" t="s">
        <v>247</v>
      </c>
      <c r="B100" s="14" t="s">
        <v>175</v>
      </c>
      <c r="C100" s="12" t="s">
        <v>43</v>
      </c>
      <c r="D100" s="12" t="s">
        <v>176</v>
      </c>
      <c r="E100" s="12" t="s">
        <v>50</v>
      </c>
      <c r="F100" s="13" t="s">
        <v>90</v>
      </c>
      <c r="G100" s="14">
        <v>1</v>
      </c>
      <c r="H100" s="15">
        <v>120.3</v>
      </c>
      <c r="I100" s="15">
        <v>147.69999999999999</v>
      </c>
      <c r="J100" s="15">
        <v>0</v>
      </c>
      <c r="K100" s="15">
        <v>0</v>
      </c>
      <c r="L100" s="15">
        <f>147.7</f>
        <v>147.69999999999999</v>
      </c>
      <c r="M100" s="16">
        <v>6.86263126292348E-4</v>
      </c>
    </row>
    <row r="101" spans="1:13" ht="24" customHeight="1" x14ac:dyDescent="0.2">
      <c r="A101" s="12" t="s">
        <v>248</v>
      </c>
      <c r="B101" s="14" t="s">
        <v>178</v>
      </c>
      <c r="C101" s="12" t="s">
        <v>33</v>
      </c>
      <c r="D101" s="12" t="s">
        <v>179</v>
      </c>
      <c r="E101" s="12" t="s">
        <v>50</v>
      </c>
      <c r="F101" s="13" t="s">
        <v>94</v>
      </c>
      <c r="G101" s="14">
        <v>6</v>
      </c>
      <c r="H101" s="15">
        <v>3.95</v>
      </c>
      <c r="I101" s="15">
        <v>4.84</v>
      </c>
      <c r="J101" s="15">
        <v>0</v>
      </c>
      <c r="K101" s="15">
        <v>0</v>
      </c>
      <c r="L101" s="15">
        <f>29.04</f>
        <v>29.04</v>
      </c>
      <c r="M101" s="16">
        <v>1.3492945963121047E-4</v>
      </c>
    </row>
    <row r="102" spans="1:13" ht="24" customHeight="1" x14ac:dyDescent="0.2">
      <c r="A102" s="12" t="s">
        <v>249</v>
      </c>
      <c r="B102" s="14" t="s">
        <v>181</v>
      </c>
      <c r="C102" s="12" t="s">
        <v>33</v>
      </c>
      <c r="D102" s="12" t="s">
        <v>182</v>
      </c>
      <c r="E102" s="12" t="s">
        <v>50</v>
      </c>
      <c r="F102" s="13" t="s">
        <v>94</v>
      </c>
      <c r="G102" s="14">
        <v>6</v>
      </c>
      <c r="H102" s="15">
        <v>3.88</v>
      </c>
      <c r="I102" s="15">
        <v>4.76</v>
      </c>
      <c r="J102" s="15">
        <v>0</v>
      </c>
      <c r="K102" s="15">
        <v>0</v>
      </c>
      <c r="L102" s="15">
        <f>28.56</f>
        <v>28.56</v>
      </c>
      <c r="M102" s="16">
        <v>1.3269922062904169E-4</v>
      </c>
    </row>
    <row r="103" spans="1:13" ht="24" customHeight="1" x14ac:dyDescent="0.2">
      <c r="A103" s="12" t="s">
        <v>250</v>
      </c>
      <c r="B103" s="14" t="s">
        <v>184</v>
      </c>
      <c r="C103" s="12" t="s">
        <v>33</v>
      </c>
      <c r="D103" s="12" t="s">
        <v>185</v>
      </c>
      <c r="E103" s="12" t="s">
        <v>50</v>
      </c>
      <c r="F103" s="13" t="s">
        <v>94</v>
      </c>
      <c r="G103" s="14">
        <v>6</v>
      </c>
      <c r="H103" s="15">
        <v>6.86</v>
      </c>
      <c r="I103" s="15">
        <v>8.42</v>
      </c>
      <c r="J103" s="15">
        <v>0</v>
      </c>
      <c r="K103" s="15">
        <v>0</v>
      </c>
      <c r="L103" s="15">
        <f>50.52</f>
        <v>50.52</v>
      </c>
      <c r="M103" s="16">
        <v>2.3473265497826284E-4</v>
      </c>
    </row>
    <row r="104" spans="1:13" ht="24" customHeight="1" x14ac:dyDescent="0.2">
      <c r="A104" s="12" t="s">
        <v>251</v>
      </c>
      <c r="B104" s="14" t="s">
        <v>187</v>
      </c>
      <c r="C104" s="12" t="s">
        <v>33</v>
      </c>
      <c r="D104" s="12" t="s">
        <v>188</v>
      </c>
      <c r="E104" s="12" t="s">
        <v>50</v>
      </c>
      <c r="F104" s="13" t="s">
        <v>94</v>
      </c>
      <c r="G104" s="14">
        <v>3</v>
      </c>
      <c r="H104" s="15">
        <v>27.17</v>
      </c>
      <c r="I104" s="15">
        <v>33.35</v>
      </c>
      <c r="J104" s="15">
        <v>0</v>
      </c>
      <c r="K104" s="15">
        <v>0</v>
      </c>
      <c r="L104" s="15">
        <f>100.05</f>
        <v>100.05</v>
      </c>
      <c r="M104" s="16">
        <v>4.6486544201455258E-4</v>
      </c>
    </row>
    <row r="105" spans="1:13" ht="24" customHeight="1" x14ac:dyDescent="0.2">
      <c r="A105" s="3" t="s">
        <v>252</v>
      </c>
      <c r="B105" s="3"/>
      <c r="C105" s="3"/>
      <c r="D105" s="3" t="s">
        <v>253</v>
      </c>
      <c r="E105" s="3"/>
      <c r="F105" s="3"/>
      <c r="G105" s="4"/>
      <c r="H105" s="3"/>
      <c r="I105" s="3"/>
      <c r="J105" s="3"/>
      <c r="K105" s="3"/>
      <c r="L105" s="5">
        <v>112442.24000000001</v>
      </c>
      <c r="M105" s="6">
        <v>0.52244389404004399</v>
      </c>
    </row>
    <row r="106" spans="1:13" ht="36" customHeight="1" x14ac:dyDescent="0.2">
      <c r="A106" s="7" t="s">
        <v>254</v>
      </c>
      <c r="B106" s="9" t="s">
        <v>255</v>
      </c>
      <c r="C106" s="7" t="s">
        <v>33</v>
      </c>
      <c r="D106" s="7" t="s">
        <v>256</v>
      </c>
      <c r="E106" s="7" t="s">
        <v>115</v>
      </c>
      <c r="F106" s="8" t="s">
        <v>73</v>
      </c>
      <c r="G106" s="9">
        <v>339</v>
      </c>
      <c r="H106" s="10">
        <v>131.04</v>
      </c>
      <c r="I106" s="10">
        <v>160.88999999999999</v>
      </c>
      <c r="J106" s="10">
        <v>2762.85</v>
      </c>
      <c r="K106" s="10">
        <v>5.07</v>
      </c>
      <c r="L106" s="10">
        <f>54541.71</f>
        <v>54541.71</v>
      </c>
      <c r="M106" s="11">
        <v>0.2534188518478715</v>
      </c>
    </row>
    <row r="107" spans="1:13" ht="36" customHeight="1" x14ac:dyDescent="0.2">
      <c r="A107" s="7" t="s">
        <v>257</v>
      </c>
      <c r="B107" s="9" t="s">
        <v>258</v>
      </c>
      <c r="C107" s="7" t="s">
        <v>33</v>
      </c>
      <c r="D107" s="7" t="s">
        <v>259</v>
      </c>
      <c r="E107" s="7" t="s">
        <v>115</v>
      </c>
      <c r="F107" s="8" t="s">
        <v>73</v>
      </c>
      <c r="G107" s="9">
        <v>230</v>
      </c>
      <c r="H107" s="10">
        <v>82.13</v>
      </c>
      <c r="I107" s="10">
        <v>100.83</v>
      </c>
      <c r="J107" s="10">
        <v>1340.9</v>
      </c>
      <c r="K107" s="10">
        <v>5.78</v>
      </c>
      <c r="L107" s="10">
        <f>23190.9</f>
        <v>23190.9</v>
      </c>
      <c r="M107" s="11">
        <v>0.10775260349040768</v>
      </c>
    </row>
    <row r="108" spans="1:13" ht="24" customHeight="1" x14ac:dyDescent="0.2">
      <c r="A108" s="12" t="s">
        <v>260</v>
      </c>
      <c r="B108" s="14" t="s">
        <v>261</v>
      </c>
      <c r="C108" s="12" t="s">
        <v>33</v>
      </c>
      <c r="D108" s="12" t="s">
        <v>262</v>
      </c>
      <c r="E108" s="12" t="s">
        <v>50</v>
      </c>
      <c r="F108" s="13" t="s">
        <v>73</v>
      </c>
      <c r="G108" s="14">
        <v>113</v>
      </c>
      <c r="H108" s="15">
        <v>25.69</v>
      </c>
      <c r="I108" s="15">
        <v>31.54</v>
      </c>
      <c r="J108" s="15">
        <v>0</v>
      </c>
      <c r="K108" s="15">
        <v>0</v>
      </c>
      <c r="L108" s="15">
        <f>3564.02</f>
        <v>3564.02</v>
      </c>
      <c r="M108" s="16">
        <v>1.6559617517728192E-2</v>
      </c>
    </row>
    <row r="109" spans="1:13" ht="36" customHeight="1" x14ac:dyDescent="0.2">
      <c r="A109" s="7" t="s">
        <v>263</v>
      </c>
      <c r="B109" s="9" t="s">
        <v>264</v>
      </c>
      <c r="C109" s="7" t="s">
        <v>33</v>
      </c>
      <c r="D109" s="7" t="s">
        <v>265</v>
      </c>
      <c r="E109" s="7" t="s">
        <v>115</v>
      </c>
      <c r="F109" s="8" t="s">
        <v>73</v>
      </c>
      <c r="G109" s="9">
        <v>12</v>
      </c>
      <c r="H109" s="10">
        <v>210.18</v>
      </c>
      <c r="I109" s="10">
        <v>258.05</v>
      </c>
      <c r="J109" s="10">
        <v>143.76</v>
      </c>
      <c r="K109" s="10">
        <v>4.6399999999999997</v>
      </c>
      <c r="L109" s="10">
        <f>3096.6</f>
        <v>3096.6</v>
      </c>
      <c r="M109" s="11">
        <v>1.4387829362741265E-2</v>
      </c>
    </row>
    <row r="110" spans="1:13" ht="36" customHeight="1" x14ac:dyDescent="0.2">
      <c r="A110" s="7" t="s">
        <v>266</v>
      </c>
      <c r="B110" s="9" t="s">
        <v>267</v>
      </c>
      <c r="C110" s="7" t="s">
        <v>33</v>
      </c>
      <c r="D110" s="7" t="s">
        <v>268</v>
      </c>
      <c r="E110" s="7" t="s">
        <v>115</v>
      </c>
      <c r="F110" s="8" t="s">
        <v>73</v>
      </c>
      <c r="G110" s="9">
        <v>20</v>
      </c>
      <c r="H110" s="10">
        <v>6.88</v>
      </c>
      <c r="I110" s="10">
        <v>8.44</v>
      </c>
      <c r="J110" s="10">
        <v>36.200000000000003</v>
      </c>
      <c r="K110" s="10">
        <v>21.45</v>
      </c>
      <c r="L110" s="10">
        <f>168.8</f>
        <v>168.8</v>
      </c>
      <c r="M110" s="11">
        <v>7.8430071576268343E-4</v>
      </c>
    </row>
    <row r="111" spans="1:13" ht="36" customHeight="1" x14ac:dyDescent="0.2">
      <c r="A111" s="7" t="s">
        <v>269</v>
      </c>
      <c r="B111" s="9" t="s">
        <v>270</v>
      </c>
      <c r="C111" s="7" t="s">
        <v>33</v>
      </c>
      <c r="D111" s="7" t="s">
        <v>271</v>
      </c>
      <c r="E111" s="7" t="s">
        <v>115</v>
      </c>
      <c r="F111" s="8" t="s">
        <v>73</v>
      </c>
      <c r="G111" s="9">
        <v>8</v>
      </c>
      <c r="H111" s="10">
        <v>14.47</v>
      </c>
      <c r="I111" s="10">
        <v>17.760000000000002</v>
      </c>
      <c r="J111" s="10">
        <v>28.08</v>
      </c>
      <c r="K111" s="10">
        <v>19.760000000000002</v>
      </c>
      <c r="L111" s="10">
        <f>142.08</f>
        <v>142.08000000000001</v>
      </c>
      <c r="M111" s="11">
        <v>6.6015074464195538E-4</v>
      </c>
    </row>
    <row r="112" spans="1:13" ht="36" customHeight="1" x14ac:dyDescent="0.2">
      <c r="A112" s="7" t="s">
        <v>272</v>
      </c>
      <c r="B112" s="9" t="s">
        <v>273</v>
      </c>
      <c r="C112" s="7" t="s">
        <v>33</v>
      </c>
      <c r="D112" s="7" t="s">
        <v>274</v>
      </c>
      <c r="E112" s="7" t="s">
        <v>115</v>
      </c>
      <c r="F112" s="8" t="s">
        <v>73</v>
      </c>
      <c r="G112" s="9">
        <v>6</v>
      </c>
      <c r="H112" s="10">
        <v>22.02</v>
      </c>
      <c r="I112" s="10">
        <v>27.03</v>
      </c>
      <c r="J112" s="10">
        <v>31.38</v>
      </c>
      <c r="K112" s="10">
        <v>19.350000000000001</v>
      </c>
      <c r="L112" s="10">
        <f>162.18</f>
        <v>162.18</v>
      </c>
      <c r="M112" s="11">
        <v>7.5354200285777245E-4</v>
      </c>
    </row>
    <row r="113" spans="1:13" ht="36" customHeight="1" x14ac:dyDescent="0.2">
      <c r="A113" s="7" t="s">
        <v>275</v>
      </c>
      <c r="B113" s="9" t="s">
        <v>276</v>
      </c>
      <c r="C113" s="7" t="s">
        <v>33</v>
      </c>
      <c r="D113" s="7" t="s">
        <v>277</v>
      </c>
      <c r="E113" s="7" t="s">
        <v>115</v>
      </c>
      <c r="F113" s="8" t="s">
        <v>73</v>
      </c>
      <c r="G113" s="9">
        <v>6</v>
      </c>
      <c r="H113" s="10">
        <v>32.57</v>
      </c>
      <c r="I113" s="10">
        <v>39.979999999999997</v>
      </c>
      <c r="J113" s="10">
        <v>19.86</v>
      </c>
      <c r="K113" s="10">
        <v>8.2799999999999994</v>
      </c>
      <c r="L113" s="10">
        <f>239.88</f>
        <v>239.88</v>
      </c>
      <c r="M113" s="11">
        <v>1.1145619413338418E-3</v>
      </c>
    </row>
    <row r="114" spans="1:13" ht="36" customHeight="1" x14ac:dyDescent="0.2">
      <c r="A114" s="7" t="s">
        <v>278</v>
      </c>
      <c r="B114" s="9" t="s">
        <v>279</v>
      </c>
      <c r="C114" s="7" t="s">
        <v>33</v>
      </c>
      <c r="D114" s="7" t="s">
        <v>280</v>
      </c>
      <c r="E114" s="7" t="s">
        <v>115</v>
      </c>
      <c r="F114" s="8" t="s">
        <v>73</v>
      </c>
      <c r="G114" s="9">
        <v>6</v>
      </c>
      <c r="H114" s="10">
        <v>45.54</v>
      </c>
      <c r="I114" s="10">
        <v>55.91</v>
      </c>
      <c r="J114" s="10">
        <v>23.7</v>
      </c>
      <c r="K114" s="10">
        <v>7.06</v>
      </c>
      <c r="L114" s="10">
        <f>335.46</f>
        <v>335.46</v>
      </c>
      <c r="M114" s="11">
        <v>1.5586582826406978E-3</v>
      </c>
    </row>
    <row r="115" spans="1:13" ht="36" customHeight="1" x14ac:dyDescent="0.2">
      <c r="A115" s="12" t="s">
        <v>281</v>
      </c>
      <c r="B115" s="14" t="s">
        <v>282</v>
      </c>
      <c r="C115" s="12" t="s">
        <v>33</v>
      </c>
      <c r="D115" s="12" t="s">
        <v>283</v>
      </c>
      <c r="E115" s="12" t="s">
        <v>50</v>
      </c>
      <c r="F115" s="13" t="s">
        <v>94</v>
      </c>
      <c r="G115" s="14">
        <v>500</v>
      </c>
      <c r="H115" s="15">
        <v>0.14000000000000001</v>
      </c>
      <c r="I115" s="15">
        <v>0.17</v>
      </c>
      <c r="J115" s="15">
        <v>0</v>
      </c>
      <c r="K115" s="15">
        <v>0</v>
      </c>
      <c r="L115" s="15">
        <f>85</f>
        <v>85</v>
      </c>
      <c r="M115" s="16">
        <v>3.9493815663405268E-4</v>
      </c>
    </row>
    <row r="116" spans="1:13" ht="24" customHeight="1" x14ac:dyDescent="0.2">
      <c r="A116" s="12" t="s">
        <v>284</v>
      </c>
      <c r="B116" s="14" t="s">
        <v>285</v>
      </c>
      <c r="C116" s="12" t="s">
        <v>33</v>
      </c>
      <c r="D116" s="12" t="s">
        <v>286</v>
      </c>
      <c r="E116" s="12" t="s">
        <v>50</v>
      </c>
      <c r="F116" s="13" t="s">
        <v>94</v>
      </c>
      <c r="G116" s="14">
        <v>10</v>
      </c>
      <c r="H116" s="15">
        <v>15.78</v>
      </c>
      <c r="I116" s="15">
        <v>19.37</v>
      </c>
      <c r="J116" s="15">
        <v>0</v>
      </c>
      <c r="K116" s="15">
        <v>0</v>
      </c>
      <c r="L116" s="15">
        <f>193.7</f>
        <v>193.7</v>
      </c>
      <c r="M116" s="16">
        <v>8.9999436400018827E-4</v>
      </c>
    </row>
    <row r="117" spans="1:13" ht="24" customHeight="1" x14ac:dyDescent="0.2">
      <c r="A117" s="12" t="s">
        <v>287</v>
      </c>
      <c r="B117" s="14" t="s">
        <v>288</v>
      </c>
      <c r="C117" s="12" t="s">
        <v>33</v>
      </c>
      <c r="D117" s="12" t="s">
        <v>289</v>
      </c>
      <c r="E117" s="12" t="s">
        <v>50</v>
      </c>
      <c r="F117" s="13" t="s">
        <v>73</v>
      </c>
      <c r="G117" s="14">
        <v>100</v>
      </c>
      <c r="H117" s="15">
        <v>2.15</v>
      </c>
      <c r="I117" s="15">
        <v>2.63</v>
      </c>
      <c r="J117" s="15">
        <v>0</v>
      </c>
      <c r="K117" s="15">
        <v>0</v>
      </c>
      <c r="L117" s="15">
        <f>263</f>
        <v>263</v>
      </c>
      <c r="M117" s="16">
        <v>1.2219851199383042E-3</v>
      </c>
    </row>
    <row r="118" spans="1:13" ht="24" customHeight="1" x14ac:dyDescent="0.2">
      <c r="A118" s="12" t="s">
        <v>290</v>
      </c>
      <c r="B118" s="14" t="s">
        <v>291</v>
      </c>
      <c r="C118" s="12" t="s">
        <v>33</v>
      </c>
      <c r="D118" s="12" t="s">
        <v>292</v>
      </c>
      <c r="E118" s="12" t="s">
        <v>50</v>
      </c>
      <c r="F118" s="13" t="s">
        <v>94</v>
      </c>
      <c r="G118" s="14">
        <v>20</v>
      </c>
      <c r="H118" s="15">
        <v>11.82</v>
      </c>
      <c r="I118" s="15">
        <v>14.51</v>
      </c>
      <c r="J118" s="15">
        <v>0</v>
      </c>
      <c r="K118" s="15">
        <v>0</v>
      </c>
      <c r="L118" s="15">
        <f>290.2</f>
        <v>290.2</v>
      </c>
      <c r="M118" s="16">
        <v>1.3483653300612011E-3</v>
      </c>
    </row>
    <row r="119" spans="1:13" ht="24" customHeight="1" x14ac:dyDescent="0.2">
      <c r="A119" s="12" t="s">
        <v>293</v>
      </c>
      <c r="B119" s="14" t="s">
        <v>294</v>
      </c>
      <c r="C119" s="12" t="s">
        <v>33</v>
      </c>
      <c r="D119" s="12" t="s">
        <v>295</v>
      </c>
      <c r="E119" s="12" t="s">
        <v>50</v>
      </c>
      <c r="F119" s="13" t="s">
        <v>94</v>
      </c>
      <c r="G119" s="14">
        <v>6</v>
      </c>
      <c r="H119" s="15">
        <v>96.76</v>
      </c>
      <c r="I119" s="15">
        <v>118.8</v>
      </c>
      <c r="J119" s="15">
        <v>0</v>
      </c>
      <c r="K119" s="15">
        <v>0</v>
      </c>
      <c r="L119" s="15">
        <f>712.8</f>
        <v>712.8</v>
      </c>
      <c r="M119" s="16">
        <v>3.3119049182206207E-3</v>
      </c>
    </row>
    <row r="120" spans="1:13" ht="24" customHeight="1" x14ac:dyDescent="0.2">
      <c r="A120" s="12" t="s">
        <v>296</v>
      </c>
      <c r="B120" s="14" t="s">
        <v>297</v>
      </c>
      <c r="C120" s="12" t="s">
        <v>33</v>
      </c>
      <c r="D120" s="12" t="s">
        <v>298</v>
      </c>
      <c r="E120" s="12" t="s">
        <v>50</v>
      </c>
      <c r="F120" s="13" t="s">
        <v>94</v>
      </c>
      <c r="G120" s="14">
        <v>4</v>
      </c>
      <c r="H120" s="15">
        <v>80.069999999999993</v>
      </c>
      <c r="I120" s="15">
        <v>98.3</v>
      </c>
      <c r="J120" s="15">
        <v>0</v>
      </c>
      <c r="K120" s="15">
        <v>0</v>
      </c>
      <c r="L120" s="15">
        <f>393.2</f>
        <v>393.2</v>
      </c>
      <c r="M120" s="16">
        <v>1.8269374492765826E-3</v>
      </c>
    </row>
    <row r="121" spans="1:13" ht="36" customHeight="1" x14ac:dyDescent="0.2">
      <c r="A121" s="12" t="s">
        <v>299</v>
      </c>
      <c r="B121" s="14" t="s">
        <v>300</v>
      </c>
      <c r="C121" s="12" t="s">
        <v>33</v>
      </c>
      <c r="D121" s="12" t="s">
        <v>301</v>
      </c>
      <c r="E121" s="12" t="s">
        <v>50</v>
      </c>
      <c r="F121" s="13" t="s">
        <v>73</v>
      </c>
      <c r="G121" s="14">
        <v>15</v>
      </c>
      <c r="H121" s="15">
        <v>12.96</v>
      </c>
      <c r="I121" s="15">
        <v>15.91</v>
      </c>
      <c r="J121" s="15">
        <v>0</v>
      </c>
      <c r="K121" s="15">
        <v>0</v>
      </c>
      <c r="L121" s="15">
        <f>238.65</f>
        <v>238.65</v>
      </c>
      <c r="M121" s="16">
        <v>1.1088469538907844E-3</v>
      </c>
    </row>
    <row r="122" spans="1:13" ht="24" customHeight="1" x14ac:dyDescent="0.2">
      <c r="A122" s="7" t="s">
        <v>302</v>
      </c>
      <c r="B122" s="9" t="s">
        <v>303</v>
      </c>
      <c r="C122" s="7" t="s">
        <v>43</v>
      </c>
      <c r="D122" s="7" t="s">
        <v>304</v>
      </c>
      <c r="E122" s="7" t="s">
        <v>164</v>
      </c>
      <c r="F122" s="8" t="s">
        <v>305</v>
      </c>
      <c r="G122" s="9">
        <v>30</v>
      </c>
      <c r="H122" s="10">
        <v>17.3</v>
      </c>
      <c r="I122" s="10">
        <v>21.24</v>
      </c>
      <c r="J122" s="10">
        <v>0</v>
      </c>
      <c r="K122" s="10">
        <v>0</v>
      </c>
      <c r="L122" s="10">
        <f>637.2</f>
        <v>637.20000000000005</v>
      </c>
      <c r="M122" s="11">
        <v>2.9606422753790398E-3</v>
      </c>
    </row>
    <row r="123" spans="1:13" ht="36" customHeight="1" x14ac:dyDescent="0.2">
      <c r="A123" s="12" t="s">
        <v>306</v>
      </c>
      <c r="B123" s="14" t="s">
        <v>307</v>
      </c>
      <c r="C123" s="12" t="s">
        <v>33</v>
      </c>
      <c r="D123" s="12" t="s">
        <v>308</v>
      </c>
      <c r="E123" s="12" t="s">
        <v>50</v>
      </c>
      <c r="F123" s="13" t="s">
        <v>94</v>
      </c>
      <c r="G123" s="14">
        <v>45</v>
      </c>
      <c r="H123" s="15">
        <v>0.9</v>
      </c>
      <c r="I123" s="15">
        <v>1.1000000000000001</v>
      </c>
      <c r="J123" s="15">
        <v>0</v>
      </c>
      <c r="K123" s="15">
        <v>0</v>
      </c>
      <c r="L123" s="15">
        <f>49.5</f>
        <v>49.5</v>
      </c>
      <c r="M123" s="16">
        <v>2.299933970986542E-4</v>
      </c>
    </row>
    <row r="124" spans="1:13" ht="24" customHeight="1" x14ac:dyDescent="0.2">
      <c r="A124" s="7" t="s">
        <v>309</v>
      </c>
      <c r="B124" s="9" t="s">
        <v>310</v>
      </c>
      <c r="C124" s="7" t="s">
        <v>43</v>
      </c>
      <c r="D124" s="7" t="s">
        <v>311</v>
      </c>
      <c r="E124" s="7" t="s">
        <v>312</v>
      </c>
      <c r="F124" s="8" t="s">
        <v>147</v>
      </c>
      <c r="G124" s="9">
        <v>110</v>
      </c>
      <c r="H124" s="10">
        <v>49.12</v>
      </c>
      <c r="I124" s="10">
        <v>60.3</v>
      </c>
      <c r="J124" s="10">
        <v>1977.8</v>
      </c>
      <c r="K124" s="10">
        <v>29.82</v>
      </c>
      <c r="L124" s="10">
        <f>6633</f>
        <v>6633</v>
      </c>
      <c r="M124" s="11">
        <v>3.0819115211219664E-2</v>
      </c>
    </row>
    <row r="125" spans="1:13" ht="24" customHeight="1" x14ac:dyDescent="0.2">
      <c r="A125" s="7" t="s">
        <v>313</v>
      </c>
      <c r="B125" s="9" t="s">
        <v>314</v>
      </c>
      <c r="C125" s="7" t="s">
        <v>43</v>
      </c>
      <c r="D125" s="7" t="s">
        <v>315</v>
      </c>
      <c r="E125" s="7" t="s">
        <v>316</v>
      </c>
      <c r="F125" s="8" t="s">
        <v>90</v>
      </c>
      <c r="G125" s="9">
        <v>28</v>
      </c>
      <c r="H125" s="10">
        <v>22.88</v>
      </c>
      <c r="I125" s="10">
        <v>28.09</v>
      </c>
      <c r="J125" s="10">
        <v>251.44</v>
      </c>
      <c r="K125" s="10">
        <v>31.97</v>
      </c>
      <c r="L125" s="10">
        <f>786.52</f>
        <v>786.52</v>
      </c>
      <c r="M125" s="11">
        <v>3.654432458303707E-3</v>
      </c>
    </row>
    <row r="126" spans="1:13" ht="24" customHeight="1" x14ac:dyDescent="0.2">
      <c r="A126" s="7" t="s">
        <v>317</v>
      </c>
      <c r="B126" s="9" t="s">
        <v>318</v>
      </c>
      <c r="C126" s="7" t="s">
        <v>43</v>
      </c>
      <c r="D126" s="7" t="s">
        <v>319</v>
      </c>
      <c r="E126" s="7" t="s">
        <v>312</v>
      </c>
      <c r="F126" s="8" t="s">
        <v>90</v>
      </c>
      <c r="G126" s="9">
        <v>28</v>
      </c>
      <c r="H126" s="10">
        <v>12.97</v>
      </c>
      <c r="I126" s="10">
        <v>15.92</v>
      </c>
      <c r="J126" s="10">
        <v>188.16</v>
      </c>
      <c r="K126" s="10">
        <v>42.21</v>
      </c>
      <c r="L126" s="10">
        <f>445.76</f>
        <v>445.76</v>
      </c>
      <c r="M126" s="11">
        <v>2.0711486200140627E-3</v>
      </c>
    </row>
    <row r="127" spans="1:13" ht="24" customHeight="1" x14ac:dyDescent="0.2">
      <c r="A127" s="12" t="s">
        <v>320</v>
      </c>
      <c r="B127" s="14" t="s">
        <v>321</v>
      </c>
      <c r="C127" s="12" t="s">
        <v>43</v>
      </c>
      <c r="D127" s="12" t="s">
        <v>322</v>
      </c>
      <c r="E127" s="12" t="s">
        <v>50</v>
      </c>
      <c r="F127" s="13" t="s">
        <v>147</v>
      </c>
      <c r="G127" s="14">
        <v>110</v>
      </c>
      <c r="H127" s="15">
        <v>15.88</v>
      </c>
      <c r="I127" s="15">
        <v>19.489999999999998</v>
      </c>
      <c r="J127" s="15">
        <v>0</v>
      </c>
      <c r="K127" s="15">
        <v>0</v>
      </c>
      <c r="L127" s="15">
        <f>2143.9</f>
        <v>2143.9</v>
      </c>
      <c r="M127" s="16">
        <v>9.9612695765617116E-3</v>
      </c>
    </row>
    <row r="128" spans="1:13" ht="24" customHeight="1" x14ac:dyDescent="0.2">
      <c r="A128" s="12" t="s">
        <v>323</v>
      </c>
      <c r="B128" s="14" t="s">
        <v>324</v>
      </c>
      <c r="C128" s="12" t="s">
        <v>33</v>
      </c>
      <c r="D128" s="12" t="s">
        <v>325</v>
      </c>
      <c r="E128" s="12" t="s">
        <v>50</v>
      </c>
      <c r="F128" s="13" t="s">
        <v>94</v>
      </c>
      <c r="G128" s="14">
        <v>110</v>
      </c>
      <c r="H128" s="15">
        <v>0.95</v>
      </c>
      <c r="I128" s="15">
        <v>1.1599999999999999</v>
      </c>
      <c r="J128" s="15">
        <v>0</v>
      </c>
      <c r="K128" s="15">
        <v>0</v>
      </c>
      <c r="L128" s="15">
        <f>127.6</f>
        <v>127.6</v>
      </c>
      <c r="M128" s="16">
        <v>5.9287186807653082E-4</v>
      </c>
    </row>
    <row r="129" spans="1:13" ht="24" customHeight="1" x14ac:dyDescent="0.2">
      <c r="A129" s="12" t="s">
        <v>326</v>
      </c>
      <c r="B129" s="14" t="s">
        <v>327</v>
      </c>
      <c r="C129" s="12" t="s">
        <v>33</v>
      </c>
      <c r="D129" s="12" t="s">
        <v>328</v>
      </c>
      <c r="E129" s="12" t="s">
        <v>50</v>
      </c>
      <c r="F129" s="13" t="s">
        <v>94</v>
      </c>
      <c r="G129" s="14">
        <v>200</v>
      </c>
      <c r="H129" s="15">
        <v>0.19</v>
      </c>
      <c r="I129" s="15">
        <v>0.23</v>
      </c>
      <c r="J129" s="15">
        <v>0</v>
      </c>
      <c r="K129" s="15">
        <v>0</v>
      </c>
      <c r="L129" s="15">
        <f>46</f>
        <v>46</v>
      </c>
      <c r="M129" s="16">
        <v>2.1373123770784027E-4</v>
      </c>
    </row>
    <row r="130" spans="1:13" ht="24" customHeight="1" x14ac:dyDescent="0.2">
      <c r="A130" s="12" t="s">
        <v>329</v>
      </c>
      <c r="B130" s="14" t="s">
        <v>330</v>
      </c>
      <c r="C130" s="12" t="s">
        <v>43</v>
      </c>
      <c r="D130" s="12" t="s">
        <v>331</v>
      </c>
      <c r="E130" s="12" t="s">
        <v>50</v>
      </c>
      <c r="F130" s="13" t="s">
        <v>90</v>
      </c>
      <c r="G130" s="14">
        <v>200</v>
      </c>
      <c r="H130" s="15">
        <v>0.12</v>
      </c>
      <c r="I130" s="15">
        <v>0.14000000000000001</v>
      </c>
      <c r="J130" s="15">
        <v>0</v>
      </c>
      <c r="K130" s="15">
        <v>0</v>
      </c>
      <c r="L130" s="15">
        <f>28</f>
        <v>28</v>
      </c>
      <c r="M130" s="16">
        <v>1.3009727512651147E-4</v>
      </c>
    </row>
    <row r="131" spans="1:13" ht="24" customHeight="1" x14ac:dyDescent="0.2">
      <c r="A131" s="7" t="s">
        <v>332</v>
      </c>
      <c r="B131" s="9" t="s">
        <v>333</v>
      </c>
      <c r="C131" s="7" t="s">
        <v>43</v>
      </c>
      <c r="D131" s="7" t="s">
        <v>334</v>
      </c>
      <c r="E131" s="7" t="s">
        <v>335</v>
      </c>
      <c r="F131" s="8" t="s">
        <v>90</v>
      </c>
      <c r="G131" s="9">
        <v>30</v>
      </c>
      <c r="H131" s="10">
        <v>53.1</v>
      </c>
      <c r="I131" s="10">
        <v>65.19</v>
      </c>
      <c r="J131" s="10">
        <v>539.4</v>
      </c>
      <c r="K131" s="10">
        <v>27.58</v>
      </c>
      <c r="L131" s="10">
        <f>1955.7</f>
        <v>1955.7</v>
      </c>
      <c r="M131" s="11">
        <v>9.0868300344613736E-3</v>
      </c>
    </row>
    <row r="132" spans="1:13" ht="36" customHeight="1" x14ac:dyDescent="0.2">
      <c r="A132" s="12" t="s">
        <v>336</v>
      </c>
      <c r="B132" s="14" t="s">
        <v>337</v>
      </c>
      <c r="C132" s="12" t="s">
        <v>338</v>
      </c>
      <c r="D132" s="12" t="s">
        <v>339</v>
      </c>
      <c r="E132" s="12" t="s">
        <v>50</v>
      </c>
      <c r="F132" s="13" t="s">
        <v>340</v>
      </c>
      <c r="G132" s="14">
        <v>30</v>
      </c>
      <c r="H132" s="15">
        <v>5.43</v>
      </c>
      <c r="I132" s="15">
        <v>6.66</v>
      </c>
      <c r="J132" s="15">
        <v>0</v>
      </c>
      <c r="K132" s="15">
        <v>0</v>
      </c>
      <c r="L132" s="15">
        <f>199.8</f>
        <v>199.8</v>
      </c>
      <c r="M132" s="16">
        <v>9.2833698465274973E-4</v>
      </c>
    </row>
    <row r="133" spans="1:13" ht="24" customHeight="1" x14ac:dyDescent="0.2">
      <c r="A133" s="12" t="s">
        <v>341</v>
      </c>
      <c r="B133" s="14" t="s">
        <v>342</v>
      </c>
      <c r="C133" s="12" t="s">
        <v>43</v>
      </c>
      <c r="D133" s="12" t="s">
        <v>343</v>
      </c>
      <c r="E133" s="12" t="s">
        <v>50</v>
      </c>
      <c r="F133" s="13" t="s">
        <v>90</v>
      </c>
      <c r="G133" s="14">
        <v>30</v>
      </c>
      <c r="H133" s="15">
        <v>2.5</v>
      </c>
      <c r="I133" s="15">
        <v>3.06</v>
      </c>
      <c r="J133" s="15">
        <v>0</v>
      </c>
      <c r="K133" s="15">
        <v>0</v>
      </c>
      <c r="L133" s="15">
        <f>91.8</f>
        <v>91.8</v>
      </c>
      <c r="M133" s="16">
        <v>4.2653320916477691E-4</v>
      </c>
    </row>
    <row r="134" spans="1:13" ht="36" customHeight="1" x14ac:dyDescent="0.2">
      <c r="A134" s="12" t="s">
        <v>344</v>
      </c>
      <c r="B134" s="14" t="s">
        <v>345</v>
      </c>
      <c r="C134" s="12" t="s">
        <v>33</v>
      </c>
      <c r="D134" s="12" t="s">
        <v>346</v>
      </c>
      <c r="E134" s="12" t="s">
        <v>50</v>
      </c>
      <c r="F134" s="13" t="s">
        <v>94</v>
      </c>
      <c r="G134" s="14">
        <v>100</v>
      </c>
      <c r="H134" s="15">
        <v>0.61</v>
      </c>
      <c r="I134" s="15">
        <v>0.74</v>
      </c>
      <c r="J134" s="15">
        <v>0</v>
      </c>
      <c r="K134" s="15">
        <v>0</v>
      </c>
      <c r="L134" s="15">
        <f>74</f>
        <v>74</v>
      </c>
      <c r="M134" s="16">
        <v>3.4382851283435171E-4</v>
      </c>
    </row>
    <row r="135" spans="1:13" ht="36" customHeight="1" x14ac:dyDescent="0.2">
      <c r="A135" s="7" t="s">
        <v>347</v>
      </c>
      <c r="B135" s="9" t="s">
        <v>348</v>
      </c>
      <c r="C135" s="7" t="s">
        <v>43</v>
      </c>
      <c r="D135" s="7" t="s">
        <v>349</v>
      </c>
      <c r="E135" s="7" t="s">
        <v>316</v>
      </c>
      <c r="F135" s="8" t="s">
        <v>90</v>
      </c>
      <c r="G135" s="9">
        <v>90</v>
      </c>
      <c r="H135" s="10">
        <v>13.95</v>
      </c>
      <c r="I135" s="10">
        <v>17.12</v>
      </c>
      <c r="J135" s="10">
        <v>808.2</v>
      </c>
      <c r="K135" s="10">
        <v>52.45</v>
      </c>
      <c r="L135" s="10">
        <f>1540.8</f>
        <v>1540.8</v>
      </c>
      <c r="M135" s="11">
        <v>7.1590671969617454E-3</v>
      </c>
    </row>
    <row r="136" spans="1:13" ht="24" customHeight="1" x14ac:dyDescent="0.2">
      <c r="A136" s="7" t="s">
        <v>350</v>
      </c>
      <c r="B136" s="9" t="s">
        <v>351</v>
      </c>
      <c r="C136" s="7" t="s">
        <v>43</v>
      </c>
      <c r="D136" s="7" t="s">
        <v>352</v>
      </c>
      <c r="E136" s="7" t="s">
        <v>353</v>
      </c>
      <c r="F136" s="8" t="s">
        <v>90</v>
      </c>
      <c r="G136" s="9">
        <v>720</v>
      </c>
      <c r="H136" s="10">
        <v>4.42</v>
      </c>
      <c r="I136" s="10">
        <v>5.42</v>
      </c>
      <c r="J136" s="10">
        <v>3225.6</v>
      </c>
      <c r="K136" s="10">
        <v>82.66</v>
      </c>
      <c r="L136" s="10">
        <f>3902.4</f>
        <v>3902.4</v>
      </c>
      <c r="M136" s="11">
        <v>1.8131843087632084E-2</v>
      </c>
    </row>
    <row r="137" spans="1:13" ht="24" customHeight="1" x14ac:dyDescent="0.2">
      <c r="A137" s="7" t="s">
        <v>354</v>
      </c>
      <c r="B137" s="9" t="s">
        <v>355</v>
      </c>
      <c r="C137" s="7" t="s">
        <v>43</v>
      </c>
      <c r="D137" s="7" t="s">
        <v>356</v>
      </c>
      <c r="E137" s="7" t="s">
        <v>353</v>
      </c>
      <c r="F137" s="8" t="s">
        <v>90</v>
      </c>
      <c r="G137" s="9">
        <v>720</v>
      </c>
      <c r="H137" s="10">
        <v>4.3600000000000003</v>
      </c>
      <c r="I137" s="10">
        <v>5.35</v>
      </c>
      <c r="J137" s="10">
        <v>3225.6</v>
      </c>
      <c r="K137" s="10">
        <v>83.74</v>
      </c>
      <c r="L137" s="10">
        <f>3852</f>
        <v>3852</v>
      </c>
      <c r="M137" s="11">
        <v>1.7897667992404363E-2</v>
      </c>
    </row>
    <row r="138" spans="1:13" ht="24" customHeight="1" x14ac:dyDescent="0.2">
      <c r="A138" s="7" t="s">
        <v>357</v>
      </c>
      <c r="B138" s="9" t="s">
        <v>158</v>
      </c>
      <c r="C138" s="7" t="s">
        <v>43</v>
      </c>
      <c r="D138" s="7" t="s">
        <v>159</v>
      </c>
      <c r="E138" s="7" t="s">
        <v>160</v>
      </c>
      <c r="F138" s="8" t="s">
        <v>90</v>
      </c>
      <c r="G138" s="9">
        <v>720</v>
      </c>
      <c r="H138" s="10">
        <v>0.45</v>
      </c>
      <c r="I138" s="10">
        <v>0.55000000000000004</v>
      </c>
      <c r="J138" s="10">
        <v>309.60000000000002</v>
      </c>
      <c r="K138" s="10">
        <v>78.180000000000007</v>
      </c>
      <c r="L138" s="10">
        <f>396</f>
        <v>396</v>
      </c>
      <c r="M138" s="11">
        <v>1.8399471767892336E-3</v>
      </c>
    </row>
    <row r="139" spans="1:13" ht="24" customHeight="1" x14ac:dyDescent="0.2">
      <c r="A139" s="7" t="s">
        <v>358</v>
      </c>
      <c r="B139" s="9" t="s">
        <v>359</v>
      </c>
      <c r="C139" s="7" t="s">
        <v>43</v>
      </c>
      <c r="D139" s="7" t="s">
        <v>360</v>
      </c>
      <c r="E139" s="7" t="s">
        <v>160</v>
      </c>
      <c r="F139" s="8" t="s">
        <v>90</v>
      </c>
      <c r="G139" s="9">
        <v>720</v>
      </c>
      <c r="H139" s="10">
        <v>0.45</v>
      </c>
      <c r="I139" s="10">
        <v>0.55000000000000004</v>
      </c>
      <c r="J139" s="10">
        <v>309.60000000000002</v>
      </c>
      <c r="K139" s="10">
        <v>78.180000000000007</v>
      </c>
      <c r="L139" s="10">
        <f>396</f>
        <v>396</v>
      </c>
      <c r="M139" s="11">
        <v>1.8399471767892336E-3</v>
      </c>
    </row>
    <row r="140" spans="1:13" ht="24" customHeight="1" x14ac:dyDescent="0.2">
      <c r="A140" s="7" t="s">
        <v>361</v>
      </c>
      <c r="B140" s="9" t="s">
        <v>362</v>
      </c>
      <c r="C140" s="7" t="s">
        <v>43</v>
      </c>
      <c r="D140" s="7" t="s">
        <v>363</v>
      </c>
      <c r="E140" s="7" t="s">
        <v>316</v>
      </c>
      <c r="F140" s="8" t="s">
        <v>90</v>
      </c>
      <c r="G140" s="9">
        <v>12</v>
      </c>
      <c r="H140" s="10">
        <v>79.97</v>
      </c>
      <c r="I140" s="10">
        <v>98.18</v>
      </c>
      <c r="J140" s="10">
        <v>107.76</v>
      </c>
      <c r="K140" s="10">
        <v>9.15</v>
      </c>
      <c r="L140" s="10">
        <f>1178.16</f>
        <v>1178.1600000000001</v>
      </c>
      <c r="M140" s="11">
        <v>5.4741216308232411E-3</v>
      </c>
    </row>
    <row r="141" spans="1:13" ht="24" customHeight="1" x14ac:dyDescent="0.2">
      <c r="A141" s="12" t="s">
        <v>364</v>
      </c>
      <c r="B141" s="14" t="s">
        <v>365</v>
      </c>
      <c r="C141" s="12" t="s">
        <v>43</v>
      </c>
      <c r="D141" s="12" t="s">
        <v>366</v>
      </c>
      <c r="E141" s="12" t="s">
        <v>50</v>
      </c>
      <c r="F141" s="13" t="s">
        <v>90</v>
      </c>
      <c r="G141" s="14">
        <v>4</v>
      </c>
      <c r="H141" s="15">
        <v>15.73</v>
      </c>
      <c r="I141" s="15">
        <v>19.309999999999999</v>
      </c>
      <c r="J141" s="15">
        <v>0</v>
      </c>
      <c r="K141" s="15">
        <v>0</v>
      </c>
      <c r="L141" s="15">
        <f>77.24</f>
        <v>77.239999999999995</v>
      </c>
      <c r="M141" s="16">
        <v>3.5888262609899094E-4</v>
      </c>
    </row>
    <row r="142" spans="1:13" ht="24" customHeight="1" x14ac:dyDescent="0.2">
      <c r="A142" s="7" t="s">
        <v>367</v>
      </c>
      <c r="B142" s="9" t="s">
        <v>368</v>
      </c>
      <c r="C142" s="7" t="s">
        <v>43</v>
      </c>
      <c r="D142" s="7" t="s">
        <v>369</v>
      </c>
      <c r="E142" s="7" t="s">
        <v>316</v>
      </c>
      <c r="F142" s="8" t="s">
        <v>90</v>
      </c>
      <c r="G142" s="9">
        <v>4</v>
      </c>
      <c r="H142" s="10">
        <v>53.49</v>
      </c>
      <c r="I142" s="10">
        <v>65.67</v>
      </c>
      <c r="J142" s="10">
        <v>35.92</v>
      </c>
      <c r="K142" s="10">
        <v>13.67</v>
      </c>
      <c r="L142" s="10">
        <f>262.68</f>
        <v>262.68</v>
      </c>
      <c r="M142" s="11">
        <v>1.2204982939368583E-3</v>
      </c>
    </row>
    <row r="143" spans="1:13" ht="24" customHeight="1" x14ac:dyDescent="0.2">
      <c r="A143" s="3" t="s">
        <v>370</v>
      </c>
      <c r="B143" s="3"/>
      <c r="C143" s="3"/>
      <c r="D143" s="3" t="s">
        <v>371</v>
      </c>
      <c r="E143" s="3"/>
      <c r="F143" s="3"/>
      <c r="G143" s="4"/>
      <c r="H143" s="3"/>
      <c r="I143" s="3"/>
      <c r="J143" s="3"/>
      <c r="K143" s="3"/>
      <c r="L143" s="5">
        <v>46302.48</v>
      </c>
      <c r="M143" s="6">
        <v>0.21513665998570697</v>
      </c>
    </row>
    <row r="144" spans="1:13" ht="48" customHeight="1" x14ac:dyDescent="0.2">
      <c r="A144" s="7" t="s">
        <v>372</v>
      </c>
      <c r="B144" s="9" t="s">
        <v>166</v>
      </c>
      <c r="C144" s="7" t="s">
        <v>43</v>
      </c>
      <c r="D144" s="7" t="s">
        <v>373</v>
      </c>
      <c r="E144" s="7" t="s">
        <v>122</v>
      </c>
      <c r="F144" s="8" t="s">
        <v>90</v>
      </c>
      <c r="G144" s="9">
        <v>1</v>
      </c>
      <c r="H144" s="10">
        <v>32556.78</v>
      </c>
      <c r="I144" s="10">
        <v>39973.21</v>
      </c>
      <c r="J144" s="10">
        <v>179.92</v>
      </c>
      <c r="K144" s="10">
        <v>0.45</v>
      </c>
      <c r="L144" s="10">
        <f>39973.21</f>
        <v>39973.21</v>
      </c>
      <c r="M144" s="11">
        <v>0.18572877496642212</v>
      </c>
    </row>
    <row r="145" spans="1:13" ht="36" customHeight="1" x14ac:dyDescent="0.2">
      <c r="A145" s="12" t="s">
        <v>374</v>
      </c>
      <c r="B145" s="14" t="s">
        <v>105</v>
      </c>
      <c r="C145" s="12" t="s">
        <v>33</v>
      </c>
      <c r="D145" s="12" t="s">
        <v>375</v>
      </c>
      <c r="E145" s="12" t="s">
        <v>50</v>
      </c>
      <c r="F145" s="13" t="s">
        <v>107</v>
      </c>
      <c r="G145" s="14">
        <v>42.72</v>
      </c>
      <c r="H145" s="15">
        <v>110.43</v>
      </c>
      <c r="I145" s="15">
        <v>135.58000000000001</v>
      </c>
      <c r="J145" s="15">
        <v>0</v>
      </c>
      <c r="K145" s="15">
        <v>0</v>
      </c>
      <c r="L145" s="15">
        <f>5791.97</f>
        <v>5791.97</v>
      </c>
      <c r="M145" s="16">
        <v>2.6911411236232165E-2</v>
      </c>
    </row>
    <row r="146" spans="1:13" ht="24" customHeight="1" x14ac:dyDescent="0.2">
      <c r="A146" s="12" t="s">
        <v>376</v>
      </c>
      <c r="B146" s="14" t="s">
        <v>377</v>
      </c>
      <c r="C146" s="12" t="s">
        <v>33</v>
      </c>
      <c r="D146" s="12" t="s">
        <v>378</v>
      </c>
      <c r="E146" s="12" t="s">
        <v>50</v>
      </c>
      <c r="F146" s="13" t="s">
        <v>94</v>
      </c>
      <c r="G146" s="14">
        <v>90</v>
      </c>
      <c r="H146" s="15">
        <v>1.9</v>
      </c>
      <c r="I146" s="15">
        <v>2.33</v>
      </c>
      <c r="J146" s="15">
        <v>0</v>
      </c>
      <c r="K146" s="15">
        <v>0</v>
      </c>
      <c r="L146" s="15">
        <f>209.7</f>
        <v>209.7</v>
      </c>
      <c r="M146" s="16">
        <v>9.7433566407248049E-4</v>
      </c>
    </row>
    <row r="147" spans="1:13" ht="24" customHeight="1" x14ac:dyDescent="0.2">
      <c r="A147" s="12" t="s">
        <v>379</v>
      </c>
      <c r="B147" s="14" t="s">
        <v>380</v>
      </c>
      <c r="C147" s="12" t="s">
        <v>43</v>
      </c>
      <c r="D147" s="12" t="s">
        <v>381</v>
      </c>
      <c r="E147" s="12" t="s">
        <v>50</v>
      </c>
      <c r="F147" s="13" t="s">
        <v>90</v>
      </c>
      <c r="G147" s="14">
        <v>90</v>
      </c>
      <c r="H147" s="15">
        <v>0.3</v>
      </c>
      <c r="I147" s="15">
        <v>0.36</v>
      </c>
      <c r="J147" s="15">
        <v>0</v>
      </c>
      <c r="K147" s="15">
        <v>0</v>
      </c>
      <c r="L147" s="15">
        <f>32.4</f>
        <v>32.4</v>
      </c>
      <c r="M147" s="16">
        <v>1.5054113264639183E-4</v>
      </c>
    </row>
    <row r="148" spans="1:13" ht="24" customHeight="1" x14ac:dyDescent="0.2">
      <c r="A148" s="12" t="s">
        <v>382</v>
      </c>
      <c r="B148" s="14" t="s">
        <v>383</v>
      </c>
      <c r="C148" s="12" t="s">
        <v>43</v>
      </c>
      <c r="D148" s="12" t="s">
        <v>384</v>
      </c>
      <c r="E148" s="12" t="s">
        <v>50</v>
      </c>
      <c r="F148" s="13" t="s">
        <v>90</v>
      </c>
      <c r="G148" s="14">
        <v>180</v>
      </c>
      <c r="H148" s="15">
        <v>1</v>
      </c>
      <c r="I148" s="15">
        <v>1.22</v>
      </c>
      <c r="J148" s="15">
        <v>0</v>
      </c>
      <c r="K148" s="15">
        <v>0</v>
      </c>
      <c r="L148" s="15">
        <f>219.6</f>
        <v>219.6</v>
      </c>
      <c r="M148" s="16">
        <v>1.0203343434922114E-3</v>
      </c>
    </row>
    <row r="149" spans="1:13" ht="24" customHeight="1" x14ac:dyDescent="0.2">
      <c r="A149" s="12" t="s">
        <v>385</v>
      </c>
      <c r="B149" s="14" t="s">
        <v>386</v>
      </c>
      <c r="C149" s="12" t="s">
        <v>43</v>
      </c>
      <c r="D149" s="12" t="s">
        <v>387</v>
      </c>
      <c r="E149" s="12" t="s">
        <v>50</v>
      </c>
      <c r="F149" s="13" t="s">
        <v>90</v>
      </c>
      <c r="G149" s="14">
        <v>180</v>
      </c>
      <c r="H149" s="15">
        <v>0.35</v>
      </c>
      <c r="I149" s="15">
        <v>0.42</v>
      </c>
      <c r="J149" s="15">
        <v>0</v>
      </c>
      <c r="K149" s="15">
        <v>0</v>
      </c>
      <c r="L149" s="15">
        <f>75.6</f>
        <v>75.599999999999994</v>
      </c>
      <c r="M149" s="16">
        <v>3.5126264284158099E-4</v>
      </c>
    </row>
    <row r="150" spans="1:13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 x14ac:dyDescent="0.2">
      <c r="A151" s="29"/>
      <c r="B151" s="29"/>
      <c r="C151" s="29"/>
      <c r="D151" s="20"/>
      <c r="E151" s="19"/>
      <c r="F151" s="19"/>
      <c r="G151" s="19"/>
      <c r="H151" s="19"/>
      <c r="I151" s="23" t="s">
        <v>388</v>
      </c>
      <c r="J151" s="29"/>
      <c r="K151" s="30">
        <v>175318.33</v>
      </c>
      <c r="L151" s="29"/>
      <c r="M151" s="29"/>
    </row>
    <row r="152" spans="1:13" x14ac:dyDescent="0.2">
      <c r="A152" s="29"/>
      <c r="B152" s="29"/>
      <c r="C152" s="29"/>
      <c r="D152" s="20"/>
      <c r="E152" s="19"/>
      <c r="F152" s="19"/>
      <c r="G152" s="19"/>
      <c r="H152" s="19"/>
      <c r="I152" s="23" t="s">
        <v>389</v>
      </c>
      <c r="J152" s="29"/>
      <c r="K152" s="30">
        <v>39905.24</v>
      </c>
      <c r="L152" s="29"/>
      <c r="M152" s="29"/>
    </row>
    <row r="153" spans="1:13" x14ac:dyDescent="0.2">
      <c r="A153" s="29"/>
      <c r="B153" s="29"/>
      <c r="C153" s="29"/>
      <c r="D153" s="20"/>
      <c r="E153" s="19"/>
      <c r="F153" s="19"/>
      <c r="G153" s="19"/>
      <c r="H153" s="19"/>
      <c r="I153" s="23" t="s">
        <v>390</v>
      </c>
      <c r="J153" s="29"/>
      <c r="K153" s="30">
        <v>215223.57</v>
      </c>
      <c r="L153" s="29"/>
      <c r="M153" s="29"/>
    </row>
    <row r="154" spans="1:13" ht="60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 ht="69.95" customHeight="1" x14ac:dyDescent="0.2">
      <c r="A155" s="31" t="s">
        <v>391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</row>
  </sheetData>
  <mergeCells count="27">
    <mergeCell ref="A155:M155"/>
    <mergeCell ref="A152:C152"/>
    <mergeCell ref="I152:J152"/>
    <mergeCell ref="K152:M152"/>
    <mergeCell ref="A153:C153"/>
    <mergeCell ref="I153:J153"/>
    <mergeCell ref="K153:M153"/>
    <mergeCell ref="L4:L5"/>
    <mergeCell ref="M4:M5"/>
    <mergeCell ref="A151:C151"/>
    <mergeCell ref="I151:J151"/>
    <mergeCell ref="K151:M151"/>
    <mergeCell ref="F4:F5"/>
    <mergeCell ref="G4:G5"/>
    <mergeCell ref="H4:H5"/>
    <mergeCell ref="J4:K4"/>
    <mergeCell ref="I4:I5"/>
    <mergeCell ref="A4:A5"/>
    <mergeCell ref="B4:B5"/>
    <mergeCell ref="C4:C5"/>
    <mergeCell ref="D4:D5"/>
    <mergeCell ref="E4:E5"/>
    <mergeCell ref="F1:H1"/>
    <mergeCell ref="I1:M1"/>
    <mergeCell ref="F2:H2"/>
    <mergeCell ref="I2:M2"/>
    <mergeCell ref="A3:M3"/>
  </mergeCells>
  <pageMargins left="0.5" right="0.5" top="1" bottom="1" header="0.5" footer="0.5"/>
  <pageSetup paperSize="9" fitToHeight="0" orientation="landscape"/>
  <headerFooter>
    <oddHeader>&amp;L &amp;CCompanhia Nacional de Abastecimento
CNPJ: 26.461.699/0001-80 &amp;R</oddHeader>
    <oddFooter>&amp;L &amp;C  -  -  / SC
5133266426 / sc.gefad@conab.gov.br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 Anexo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Marcus Oliveira</cp:lastModifiedBy>
  <cp:revision>0</cp:revision>
  <dcterms:created xsi:type="dcterms:W3CDTF">2021-04-29T12:46:03Z</dcterms:created>
  <dcterms:modified xsi:type="dcterms:W3CDTF">2021-04-29T13:46:37Z</dcterms:modified>
</cp:coreProperties>
</file>